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worksheets/sheet6.xml" ContentType="application/vnd.openxmlformats-officedocument.spreadsheetml.work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6.xml" ContentType="application/vnd.openxmlformats-officedocument.drawingml.chart+xml"/>
  <Override PartName="/xl/drawings/drawing1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H:\COMPILOT\51.Web\07.Downloads\"/>
    </mc:Choice>
  </mc:AlternateContent>
  <xr:revisionPtr revIDLastSave="0" documentId="13_ncr:1_{A08420A3-AA0F-427E-994A-BE19D4D22440}" xr6:coauthVersionLast="47" xr6:coauthVersionMax="47" xr10:uidLastSave="{00000000-0000-0000-0000-000000000000}"/>
  <bookViews>
    <workbookView xWindow="-103" yWindow="-103" windowWidth="24892" windowHeight="14914" tabRatio="502" xr2:uid="{00000000-000D-0000-FFFF-FFFF00000000}"/>
  </bookViews>
  <sheets>
    <sheet name="FP" sheetId="27" r:id="rId1"/>
    <sheet name="Data" sheetId="12" r:id="rId2"/>
    <sheet name="Plot" sheetId="24" state="veryHidden" r:id="rId3"/>
    <sheet name="CurveData" sheetId="13" state="veryHidden" r:id="rId4"/>
    <sheet name="PlotData" sheetId="28" r:id="rId5"/>
    <sheet name="Top10Unc" sheetId="22" r:id="rId6"/>
    <sheet name="Top10Esti" sheetId="29" r:id="rId7"/>
    <sheet name="S-Curve" sheetId="15" r:id="rId8"/>
    <sheet name="Budget" sheetId="18" r:id="rId9"/>
    <sheet name="Uncertainties" sheetId="16" r:id="rId10"/>
  </sheets>
  <definedNames>
    <definedName name="Budget_Factor">Data!$E$74</definedName>
    <definedName name="Budget_NoStd">Data!$J$73</definedName>
    <definedName name="Budget_Pii">Data!$E$73</definedName>
    <definedName name="deltaId">Data!$T$7</definedName>
    <definedName name="deltaId_Budget">Data!$T$80</definedName>
    <definedName name="DivisorA" localSheetId="2">Plot!#REF!</definedName>
    <definedName name="DivisorA">Data!$M$95</definedName>
    <definedName name="DivisorB" localSheetId="2">Plot!#REF!</definedName>
    <definedName name="DivisorB">Data!$M$96</definedName>
    <definedName name="dTF_Minus">Data!$BI$23</definedName>
    <definedName name="dTF_Plus">Data!$BH$23</definedName>
    <definedName name="Faktor">Data!$O$32</definedName>
    <definedName name="FaktorA" localSheetId="2">Plot!#REF!</definedName>
    <definedName name="FaktorA">Data!$M$94</definedName>
    <definedName name="Func_Mean_Divisor">Data!$BF$4</definedName>
    <definedName name="Grand_Total_Var">Data!$K$162</definedName>
    <definedName name="GrandTotal">Data!$E$68</definedName>
    <definedName name="GrandTotal_Costs">Data!$E$63</definedName>
    <definedName name="GrandTotal_Income">Data!$E$59</definedName>
    <definedName name="GrandTotal_Priority">Data!$K$68</definedName>
    <definedName name="GrandTotal_StDev">Data!$J$68</definedName>
    <definedName name="GruppeStr" localSheetId="2">Plot!#REF!</definedName>
    <definedName name="GruppeStr">Data!$M$93</definedName>
    <definedName name="GU_Sum_Costs">Data!$BA$5</definedName>
    <definedName name="GU_Sum_Income">Data!$BA$6</definedName>
    <definedName name="Mean_GUs">Data!$H$23</definedName>
    <definedName name="Mean_Tasks">Data!$H$53</definedName>
    <definedName name="_xlnm.Print_Area" localSheetId="1">Data!$A$1:$N$162</definedName>
    <definedName name="_xlnm.Print_Area" localSheetId="0">FP!$A$1:$I$79</definedName>
    <definedName name="Task_Sum_Costs">Data!$BB$25</definedName>
    <definedName name="Task_Sum_Income">Data!$BB$26</definedName>
    <definedName name="TF_Include" localSheetId="2">Data!$M$69</definedName>
    <definedName name="TF_Total">Data!$I$23</definedName>
    <definedName name="UncertaintyAnalysis">CurveData!$L$10</definedName>
    <definedName name="UncertaintyShare_GeneralUncert">Data!$L$23</definedName>
    <definedName name="UncertaintyShare_Tasks">Data!$L$52</definedName>
    <definedName name="Units">Data!$E$25</definedName>
    <definedName name="Var_Sum_GeneralUncert">Data!$K$23</definedName>
    <definedName name="Var_Sum_Tasks">Data!$K$52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05" i="12" l="1"/>
  <c r="AA12" i="12"/>
  <c r="AA13" i="12"/>
  <c r="AA14" i="12"/>
  <c r="AA15" i="12"/>
  <c r="AA16" i="12"/>
  <c r="AA17" i="12"/>
  <c r="AA18" i="12"/>
  <c r="AA19" i="12"/>
  <c r="AA20" i="12"/>
  <c r="AA21" i="12"/>
  <c r="AA22" i="12"/>
  <c r="AA11" i="12"/>
  <c r="L1" i="27"/>
  <c r="Y10" i="12"/>
  <c r="X10" i="12"/>
  <c r="W10" i="12"/>
  <c r="BD10" i="12"/>
  <c r="BC10" i="12"/>
  <c r="BB10" i="12"/>
  <c r="AY10" i="12"/>
  <c r="A75" i="12"/>
  <c r="D183" i="12"/>
  <c r="F26" i="12"/>
  <c r="AT10" i="12" s="1"/>
  <c r="D26" i="12"/>
  <c r="AS10" i="12" s="1"/>
  <c r="E26" i="12"/>
  <c r="AX10" i="12" s="1"/>
  <c r="AW10" i="12" l="1"/>
  <c r="AU10" i="12"/>
  <c r="I107" i="12"/>
  <c r="I108" i="12"/>
  <c r="I109" i="12"/>
  <c r="I110" i="12"/>
  <c r="I111" i="12"/>
  <c r="I112" i="12"/>
  <c r="I113" i="12"/>
  <c r="I114" i="12"/>
  <c r="I115" i="12"/>
  <c r="I106" i="12"/>
  <c r="I86" i="12"/>
  <c r="I87" i="12"/>
  <c r="I88" i="12"/>
  <c r="I89" i="12"/>
  <c r="I90" i="12"/>
  <c r="I91" i="12"/>
  <c r="I92" i="12"/>
  <c r="I93" i="12"/>
  <c r="I94" i="12"/>
  <c r="I95" i="12"/>
  <c r="I96" i="12"/>
  <c r="I97" i="12"/>
  <c r="I98" i="12"/>
  <c r="I99" i="12"/>
  <c r="I100" i="12"/>
  <c r="I101" i="12"/>
  <c r="I102" i="12"/>
  <c r="I103" i="12"/>
  <c r="I104" i="12"/>
  <c r="I85" i="12"/>
  <c r="C106" i="12"/>
  <c r="C107" i="12"/>
  <c r="C108" i="12"/>
  <c r="C109" i="12"/>
  <c r="C110" i="12"/>
  <c r="C111" i="12"/>
  <c r="C112" i="12"/>
  <c r="C113" i="12"/>
  <c r="C114" i="12"/>
  <c r="C115" i="12"/>
  <c r="C105" i="12"/>
  <c r="B105" i="12"/>
  <c r="B84" i="12"/>
  <c r="C83" i="12"/>
  <c r="S91" i="12"/>
  <c r="S105" i="12"/>
  <c r="S88" i="12"/>
  <c r="S100" i="12"/>
  <c r="S112" i="12"/>
  <c r="S113" i="12"/>
  <c r="S87" i="12"/>
  <c r="S106" i="12"/>
  <c r="S86" i="12"/>
  <c r="S92" i="12"/>
  <c r="S114" i="12"/>
  <c r="S93" i="12"/>
  <c r="S102" i="12"/>
  <c r="S98" i="12"/>
  <c r="S97" i="12"/>
  <c r="S96" i="12"/>
  <c r="S108" i="12"/>
  <c r="S111" i="12"/>
  <c r="S104" i="12"/>
  <c r="S85" i="12"/>
  <c r="S89" i="12"/>
  <c r="S103" i="12"/>
  <c r="S115" i="12"/>
  <c r="S101" i="12"/>
  <c r="S109" i="12"/>
  <c r="S110" i="12"/>
  <c r="S84" i="12"/>
  <c r="S99" i="12"/>
  <c r="S94" i="12"/>
  <c r="S107" i="12"/>
  <c r="S95" i="12"/>
  <c r="S90" i="12"/>
  <c r="AA114" i="12" l="1"/>
  <c r="AA107" i="12"/>
  <c r="AA108" i="12"/>
  <c r="AA106" i="12"/>
  <c r="AA109" i="12"/>
  <c r="AA111" i="12"/>
  <c r="AA115" i="12"/>
  <c r="AA110" i="12"/>
  <c r="AA112" i="12"/>
  <c r="AA113" i="12"/>
  <c r="AA105" i="12"/>
  <c r="G51" i="24" l="1"/>
  <c r="G50" i="24"/>
  <c r="B50" i="12" l="1"/>
  <c r="C46" i="24"/>
  <c r="H46" i="24" s="1"/>
  <c r="R46" i="24" s="1"/>
  <c r="C45" i="24"/>
  <c r="G45" i="24" s="1"/>
  <c r="F46" i="24" l="1"/>
  <c r="L46" i="24" s="1"/>
  <c r="H45" i="24"/>
  <c r="R45" i="24" s="1"/>
  <c r="M45" i="24"/>
  <c r="Q45" i="24"/>
  <c r="G46" i="24"/>
  <c r="F45" i="24"/>
  <c r="L45" i="24" s="1"/>
  <c r="C103" i="12"/>
  <c r="C102" i="12"/>
  <c r="C101" i="12"/>
  <c r="C100" i="12"/>
  <c r="C99" i="12"/>
  <c r="C98" i="12"/>
  <c r="C97" i="12"/>
  <c r="C96" i="12"/>
  <c r="D83" i="12"/>
  <c r="A18" i="24"/>
  <c r="A19" i="24"/>
  <c r="A20" i="24"/>
  <c r="A21" i="24"/>
  <c r="A22" i="24"/>
  <c r="A23" i="24"/>
  <c r="A24" i="24"/>
  <c r="AA46" i="12"/>
  <c r="O46" i="12"/>
  <c r="AA45" i="12"/>
  <c r="AA44" i="12"/>
  <c r="O44" i="12"/>
  <c r="AA43" i="12"/>
  <c r="O43" i="12"/>
  <c r="AA42" i="12"/>
  <c r="O42" i="12"/>
  <c r="AA41" i="12"/>
  <c r="O41" i="12"/>
  <c r="AA40" i="12"/>
  <c r="O40" i="12"/>
  <c r="R40" i="12"/>
  <c r="S42" i="12"/>
  <c r="R43" i="12"/>
  <c r="S43" i="12"/>
  <c r="S41" i="12"/>
  <c r="S40" i="12"/>
  <c r="S45" i="12"/>
  <c r="R41" i="12"/>
  <c r="R45" i="12"/>
  <c r="R44" i="12"/>
  <c r="S44" i="12"/>
  <c r="R42" i="12"/>
  <c r="R46" i="12"/>
  <c r="S46" i="12"/>
  <c r="AA102" i="12" l="1"/>
  <c r="AA97" i="12"/>
  <c r="AA96" i="12"/>
  <c r="AA100" i="12"/>
  <c r="AA99" i="12"/>
  <c r="AA101" i="12"/>
  <c r="AA98" i="12"/>
  <c r="Q46" i="24"/>
  <c r="M46" i="24"/>
  <c r="A33" i="24" l="1"/>
  <c r="A3" i="24"/>
  <c r="A5" i="24"/>
  <c r="A6" i="24"/>
  <c r="A7" i="24"/>
  <c r="A8" i="24"/>
  <c r="A9" i="24"/>
  <c r="A10" i="24"/>
  <c r="A11" i="24"/>
  <c r="A12" i="24"/>
  <c r="A13" i="24"/>
  <c r="A14" i="24"/>
  <c r="A15" i="24"/>
  <c r="A16" i="24"/>
  <c r="A17" i="24"/>
  <c r="A35" i="24"/>
  <c r="A36" i="24"/>
  <c r="A37" i="24"/>
  <c r="A38" i="24"/>
  <c r="A39" i="24"/>
  <c r="A40" i="24"/>
  <c r="A41" i="24"/>
  <c r="A42" i="24"/>
  <c r="A43" i="24"/>
  <c r="A44" i="24"/>
  <c r="A45" i="24"/>
  <c r="A46" i="24"/>
  <c r="C56" i="24" l="1"/>
  <c r="I46" i="24"/>
  <c r="N46" i="24"/>
  <c r="I45" i="24"/>
  <c r="N45" i="24"/>
  <c r="C61" i="24"/>
  <c r="C22" i="24"/>
  <c r="C95" i="12"/>
  <c r="C85" i="12"/>
  <c r="C86" i="12"/>
  <c r="C87" i="12"/>
  <c r="C88" i="12"/>
  <c r="C89" i="12"/>
  <c r="C90" i="12"/>
  <c r="C91" i="12"/>
  <c r="C92" i="12"/>
  <c r="C93" i="12"/>
  <c r="C94" i="12"/>
  <c r="D23" i="12"/>
  <c r="F22" i="24" l="1"/>
  <c r="G22" i="24"/>
  <c r="H22" i="24"/>
  <c r="J62" i="12"/>
  <c r="I62" i="12"/>
  <c r="F62" i="12"/>
  <c r="E62" i="12"/>
  <c r="D62" i="12"/>
  <c r="J58" i="12"/>
  <c r="I58" i="12"/>
  <c r="E58" i="12"/>
  <c r="F58" i="12"/>
  <c r="D58" i="12"/>
  <c r="BA4" i="12"/>
  <c r="BB24" i="12"/>
  <c r="H67" i="12"/>
  <c r="J67" i="12"/>
  <c r="B49" i="12"/>
  <c r="H47" i="12"/>
  <c r="H26" i="12"/>
  <c r="B26" i="12"/>
  <c r="A26" i="12"/>
  <c r="AM10" i="12" l="1"/>
  <c r="AE10" i="12"/>
  <c r="BE10" i="12"/>
  <c r="C54" i="24"/>
  <c r="N44" i="24"/>
  <c r="I44" i="24"/>
  <c r="C44" i="24"/>
  <c r="N43" i="24"/>
  <c r="I43" i="24"/>
  <c r="C43" i="24"/>
  <c r="N42" i="24"/>
  <c r="I42" i="24"/>
  <c r="C42" i="24"/>
  <c r="N41" i="24"/>
  <c r="I41" i="24"/>
  <c r="C41" i="24"/>
  <c r="N40" i="24"/>
  <c r="I40" i="24"/>
  <c r="C40" i="24"/>
  <c r="N39" i="24"/>
  <c r="I39" i="24"/>
  <c r="C39" i="24"/>
  <c r="N38" i="24"/>
  <c r="I38" i="24"/>
  <c r="C38" i="24"/>
  <c r="N37" i="24"/>
  <c r="I37" i="24"/>
  <c r="C37" i="24"/>
  <c r="N36" i="24"/>
  <c r="I36" i="24"/>
  <c r="C36" i="24"/>
  <c r="U35" i="24"/>
  <c r="V35" i="24" s="1"/>
  <c r="N35" i="24"/>
  <c r="I35" i="24"/>
  <c r="C35" i="24"/>
  <c r="R34" i="24"/>
  <c r="Q34" i="24"/>
  <c r="P34" i="24"/>
  <c r="O34" i="24"/>
  <c r="M34" i="24"/>
  <c r="L34" i="24"/>
  <c r="K34" i="24"/>
  <c r="J34" i="24"/>
  <c r="A34" i="24"/>
  <c r="N24" i="24"/>
  <c r="I24" i="24"/>
  <c r="N23" i="24"/>
  <c r="I23" i="24"/>
  <c r="N22" i="24"/>
  <c r="I22" i="24"/>
  <c r="N21" i="24"/>
  <c r="I21" i="24"/>
  <c r="N20" i="24"/>
  <c r="I20" i="24"/>
  <c r="N19" i="24"/>
  <c r="I19" i="24"/>
  <c r="N18" i="24"/>
  <c r="I18" i="24"/>
  <c r="N17" i="24"/>
  <c r="I17" i="24"/>
  <c r="N16" i="24"/>
  <c r="I16" i="24"/>
  <c r="N15" i="24"/>
  <c r="I15" i="24"/>
  <c r="N14" i="24"/>
  <c r="I14" i="24"/>
  <c r="N13" i="24"/>
  <c r="I13" i="24"/>
  <c r="N12" i="24"/>
  <c r="I12" i="24"/>
  <c r="N11" i="24"/>
  <c r="I11" i="24"/>
  <c r="N10" i="24"/>
  <c r="I10" i="24"/>
  <c r="N9" i="24"/>
  <c r="I9" i="24"/>
  <c r="N8" i="24"/>
  <c r="I8" i="24"/>
  <c r="N7" i="24"/>
  <c r="I7" i="24"/>
  <c r="T6" i="24"/>
  <c r="T7" i="24" s="1"/>
  <c r="T8" i="24" s="1"/>
  <c r="T9" i="24" s="1"/>
  <c r="T10" i="24" s="1"/>
  <c r="T11" i="24" s="1"/>
  <c r="T12" i="24" s="1"/>
  <c r="T13" i="24" s="1"/>
  <c r="T14" i="24" s="1"/>
  <c r="T15" i="24" s="1"/>
  <c r="T16" i="24" s="1"/>
  <c r="T17" i="24" s="1"/>
  <c r="N6" i="24"/>
  <c r="I6" i="24"/>
  <c r="N5" i="24"/>
  <c r="I5" i="24"/>
  <c r="T3" i="24"/>
  <c r="U5" i="24" s="1"/>
  <c r="C65" i="24"/>
  <c r="T18" i="24" l="1"/>
  <c r="T19" i="24" s="1"/>
  <c r="T20" i="24" s="1"/>
  <c r="T21" i="24" s="1"/>
  <c r="T22" i="24" s="1"/>
  <c r="T23" i="24" s="1"/>
  <c r="T24" i="24" s="1"/>
  <c r="T25" i="24" s="1"/>
  <c r="T26" i="24" s="1"/>
  <c r="T27" i="24" s="1"/>
  <c r="T35" i="24" s="1"/>
  <c r="T36" i="24" s="1"/>
  <c r="T37" i="24" s="1"/>
  <c r="T38" i="24" s="1"/>
  <c r="T39" i="24" s="1"/>
  <c r="T40" i="24" s="1"/>
  <c r="T41" i="24" s="1"/>
  <c r="T42" i="24" s="1"/>
  <c r="T43" i="24" s="1"/>
  <c r="T44" i="24" s="1"/>
  <c r="F43" i="24"/>
  <c r="G43" i="24"/>
  <c r="H43" i="24"/>
  <c r="F41" i="24"/>
  <c r="L41" i="24" s="1"/>
  <c r="G41" i="24"/>
  <c r="H41" i="24"/>
  <c r="H35" i="24"/>
  <c r="R35" i="24" s="1"/>
  <c r="G35" i="24"/>
  <c r="F35" i="24"/>
  <c r="L35" i="24" s="1"/>
  <c r="F38" i="24"/>
  <c r="L38" i="24" s="1"/>
  <c r="H38" i="24"/>
  <c r="R38" i="24" s="1"/>
  <c r="G38" i="24"/>
  <c r="F44" i="24"/>
  <c r="L44" i="24" s="1"/>
  <c r="H44" i="24"/>
  <c r="R44" i="24" s="1"/>
  <c r="G44" i="24"/>
  <c r="Q44" i="24" s="1"/>
  <c r="F40" i="24"/>
  <c r="L40" i="24" s="1"/>
  <c r="G40" i="24"/>
  <c r="H40" i="24"/>
  <c r="R40" i="24" s="1"/>
  <c r="F39" i="24"/>
  <c r="L39" i="24" s="1"/>
  <c r="G39" i="24"/>
  <c r="H39" i="24"/>
  <c r="R39" i="24" s="1"/>
  <c r="F42" i="24"/>
  <c r="L42" i="24" s="1"/>
  <c r="G42" i="24"/>
  <c r="H42" i="24"/>
  <c r="F36" i="24"/>
  <c r="L36" i="24" s="1"/>
  <c r="G36" i="24"/>
  <c r="H36" i="24"/>
  <c r="R36" i="24" s="1"/>
  <c r="F37" i="24"/>
  <c r="L37" i="24" s="1"/>
  <c r="G37" i="24"/>
  <c r="H37" i="24"/>
  <c r="R37" i="24" s="1"/>
  <c r="V5" i="24"/>
  <c r="W5" i="24" s="1"/>
  <c r="U6" i="24"/>
  <c r="W35" i="24"/>
  <c r="U36" i="24"/>
  <c r="M44" i="24" l="1"/>
  <c r="Q35" i="24"/>
  <c r="M35" i="24"/>
  <c r="L43" i="24"/>
  <c r="Q39" i="24"/>
  <c r="M39" i="24"/>
  <c r="R41" i="24"/>
  <c r="Q40" i="24"/>
  <c r="M40" i="24"/>
  <c r="Q37" i="24"/>
  <c r="M37" i="24"/>
  <c r="V36" i="24"/>
  <c r="W36" i="24" s="1"/>
  <c r="U37" i="24"/>
  <c r="V6" i="24"/>
  <c r="W6" i="24" s="1"/>
  <c r="U7" i="24"/>
  <c r="M36" i="24"/>
  <c r="Q36" i="24"/>
  <c r="M38" i="24"/>
  <c r="Q38" i="24"/>
  <c r="O32" i="12"/>
  <c r="O33" i="12"/>
  <c r="O38" i="12"/>
  <c r="O39" i="12"/>
  <c r="M95" i="12"/>
  <c r="M96" i="12"/>
  <c r="M94" i="12"/>
  <c r="I46" i="12" l="1"/>
  <c r="K46" i="12" s="1"/>
  <c r="I44" i="12"/>
  <c r="K44" i="12" s="1"/>
  <c r="I40" i="12"/>
  <c r="K40" i="12" s="1"/>
  <c r="I43" i="12"/>
  <c r="K43" i="12" s="1"/>
  <c r="I42" i="12"/>
  <c r="K42" i="12" s="1"/>
  <c r="I41" i="12"/>
  <c r="K41" i="12" s="1"/>
  <c r="H46" i="12"/>
  <c r="H44" i="12"/>
  <c r="H43" i="12"/>
  <c r="H42" i="12"/>
  <c r="D99" i="12" s="1"/>
  <c r="H41" i="12"/>
  <c r="D98" i="12" s="1"/>
  <c r="H40" i="12"/>
  <c r="D97" i="12" s="1"/>
  <c r="H30" i="12"/>
  <c r="D87" i="12" s="1"/>
  <c r="H38" i="12"/>
  <c r="D95" i="12" s="1"/>
  <c r="C24" i="24"/>
  <c r="H33" i="12"/>
  <c r="D90" i="12" s="1"/>
  <c r="H48" i="12"/>
  <c r="H32" i="12"/>
  <c r="D89" i="12" s="1"/>
  <c r="H31" i="12"/>
  <c r="D88" i="12" s="1"/>
  <c r="H39" i="12"/>
  <c r="D96" i="12" s="1"/>
  <c r="H28" i="12"/>
  <c r="H27" i="12"/>
  <c r="H29" i="12"/>
  <c r="H49" i="12"/>
  <c r="I30" i="12"/>
  <c r="K30" i="12" s="1"/>
  <c r="I38" i="12"/>
  <c r="K38" i="12" s="1"/>
  <c r="I28" i="12"/>
  <c r="K28" i="12" s="1"/>
  <c r="I32" i="12"/>
  <c r="K32" i="12" s="1"/>
  <c r="I33" i="12"/>
  <c r="K33" i="12" s="1"/>
  <c r="I48" i="12"/>
  <c r="I31" i="12"/>
  <c r="K31" i="12" s="1"/>
  <c r="I39" i="12"/>
  <c r="K39" i="12" s="1"/>
  <c r="I27" i="12"/>
  <c r="K27" i="12" s="1"/>
  <c r="I29" i="12"/>
  <c r="K29" i="12" s="1"/>
  <c r="I49" i="12"/>
  <c r="I14" i="12"/>
  <c r="K14" i="12" s="1"/>
  <c r="I18" i="12"/>
  <c r="K18" i="12" s="1"/>
  <c r="I22" i="12"/>
  <c r="K22" i="12" s="1"/>
  <c r="I11" i="12"/>
  <c r="I21" i="12"/>
  <c r="K21" i="12" s="1"/>
  <c r="I15" i="12"/>
  <c r="K15" i="12" s="1"/>
  <c r="I19" i="12"/>
  <c r="K19" i="12" s="1"/>
  <c r="I17" i="12"/>
  <c r="K17" i="12" s="1"/>
  <c r="I12" i="12"/>
  <c r="K12" i="12" s="1"/>
  <c r="I16" i="12"/>
  <c r="K16" i="12" s="1"/>
  <c r="I20" i="12"/>
  <c r="K20" i="12" s="1"/>
  <c r="I13" i="12"/>
  <c r="K13" i="12" s="1"/>
  <c r="H14" i="12"/>
  <c r="H18" i="12"/>
  <c r="H22" i="12"/>
  <c r="E46" i="24" s="1"/>
  <c r="H15" i="12"/>
  <c r="H19" i="12"/>
  <c r="H17" i="12"/>
  <c r="H12" i="12"/>
  <c r="H16" i="12"/>
  <c r="H20" i="12"/>
  <c r="H11" i="12"/>
  <c r="H13" i="12"/>
  <c r="H21" i="12"/>
  <c r="BF18" i="12"/>
  <c r="BF17" i="12"/>
  <c r="BF15" i="12"/>
  <c r="R42" i="24"/>
  <c r="BF22" i="12"/>
  <c r="BF21" i="12"/>
  <c r="BF13" i="12"/>
  <c r="V37" i="24"/>
  <c r="W37" i="24" s="1"/>
  <c r="U38" i="24"/>
  <c r="BF16" i="12"/>
  <c r="BF14" i="12"/>
  <c r="BF20" i="12"/>
  <c r="BF12" i="12"/>
  <c r="V7" i="24"/>
  <c r="W7" i="24" s="1"/>
  <c r="U8" i="24"/>
  <c r="BF19" i="12"/>
  <c r="M41" i="24"/>
  <c r="Q41" i="24"/>
  <c r="O31" i="12"/>
  <c r="O30" i="12"/>
  <c r="O29" i="12"/>
  <c r="O28" i="12"/>
  <c r="O26" i="12"/>
  <c r="O27" i="12"/>
  <c r="E34" i="12" l="1"/>
  <c r="E35" i="12"/>
  <c r="E37" i="12"/>
  <c r="E36" i="12"/>
  <c r="E45" i="24"/>
  <c r="P45" i="24" s="1"/>
  <c r="D115" i="12"/>
  <c r="E43" i="24"/>
  <c r="D113" i="12"/>
  <c r="E44" i="24"/>
  <c r="D114" i="12"/>
  <c r="E40" i="24"/>
  <c r="D110" i="12"/>
  <c r="E36" i="24"/>
  <c r="D106" i="12"/>
  <c r="E41" i="24"/>
  <c r="D111" i="12"/>
  <c r="E39" i="24"/>
  <c r="D109" i="12"/>
  <c r="E37" i="24"/>
  <c r="D107" i="12"/>
  <c r="E35" i="24"/>
  <c r="D105" i="12"/>
  <c r="E42" i="24"/>
  <c r="D112" i="12"/>
  <c r="E38" i="24"/>
  <c r="D108" i="12"/>
  <c r="K46" i="24"/>
  <c r="O46" i="24"/>
  <c r="J46" i="24"/>
  <c r="P46" i="24"/>
  <c r="G24" i="24"/>
  <c r="F24" i="24"/>
  <c r="H24" i="24"/>
  <c r="E24" i="24"/>
  <c r="D103" i="12"/>
  <c r="D100" i="12"/>
  <c r="E22" i="24"/>
  <c r="D101" i="12"/>
  <c r="Y46" i="12"/>
  <c r="X46" i="12"/>
  <c r="W46" i="12"/>
  <c r="Y40" i="12"/>
  <c r="X40" i="12"/>
  <c r="W40" i="12"/>
  <c r="Y41" i="12"/>
  <c r="X41" i="12"/>
  <c r="W41" i="12"/>
  <c r="Y42" i="12"/>
  <c r="X42" i="12"/>
  <c r="W42" i="12"/>
  <c r="Y43" i="12"/>
  <c r="X43" i="12"/>
  <c r="W43" i="12"/>
  <c r="Y44" i="12"/>
  <c r="X44" i="12"/>
  <c r="W44" i="12"/>
  <c r="C23" i="24"/>
  <c r="C16" i="24"/>
  <c r="D86" i="12"/>
  <c r="D84" i="12"/>
  <c r="D85" i="12"/>
  <c r="C11" i="24"/>
  <c r="C17" i="24"/>
  <c r="H23" i="12"/>
  <c r="K11" i="12"/>
  <c r="BG11" i="12"/>
  <c r="BA6" i="12"/>
  <c r="BA5" i="12"/>
  <c r="M42" i="24"/>
  <c r="Q42" i="24"/>
  <c r="V38" i="24"/>
  <c r="W38" i="24" s="1"/>
  <c r="U39" i="24"/>
  <c r="R43" i="24"/>
  <c r="V8" i="24"/>
  <c r="W8" i="24" s="1"/>
  <c r="U9" i="24"/>
  <c r="J48" i="12"/>
  <c r="K48" i="12" s="1"/>
  <c r="F36" i="12" l="1"/>
  <c r="D36" i="12"/>
  <c r="F37" i="12"/>
  <c r="D37" i="12"/>
  <c r="D35" i="12"/>
  <c r="F35" i="12"/>
  <c r="D34" i="12"/>
  <c r="F34" i="12"/>
  <c r="H12" i="24" s="1"/>
  <c r="K45" i="24"/>
  <c r="J45" i="24"/>
  <c r="O45" i="24"/>
  <c r="E51" i="24"/>
  <c r="E50" i="24"/>
  <c r="J50" i="24"/>
  <c r="G13" i="24"/>
  <c r="F16" i="24"/>
  <c r="G16" i="24"/>
  <c r="E16" i="24"/>
  <c r="P16" i="24" s="1"/>
  <c r="H16" i="24"/>
  <c r="E17" i="24"/>
  <c r="J17" i="24" s="1"/>
  <c r="F17" i="24"/>
  <c r="G17" i="24"/>
  <c r="H17" i="24"/>
  <c r="E11" i="24"/>
  <c r="O11" i="24" s="1"/>
  <c r="F11" i="24"/>
  <c r="G11" i="24"/>
  <c r="H11" i="24"/>
  <c r="G12" i="24"/>
  <c r="O38" i="24"/>
  <c r="K38" i="24"/>
  <c r="J38" i="24"/>
  <c r="P38" i="24"/>
  <c r="J40" i="24"/>
  <c r="K40" i="24"/>
  <c r="P40" i="24"/>
  <c r="O40" i="24"/>
  <c r="K37" i="24"/>
  <c r="J37" i="24"/>
  <c r="O37" i="24"/>
  <c r="P37" i="24"/>
  <c r="O39" i="24"/>
  <c r="P39" i="24"/>
  <c r="J39" i="24"/>
  <c r="K39" i="24"/>
  <c r="K41" i="24"/>
  <c r="O41" i="24"/>
  <c r="J41" i="24"/>
  <c r="P41" i="24"/>
  <c r="K44" i="24"/>
  <c r="J44" i="24"/>
  <c r="P44" i="24"/>
  <c r="O44" i="24"/>
  <c r="K35" i="24"/>
  <c r="J35" i="24"/>
  <c r="P35" i="24"/>
  <c r="O35" i="24"/>
  <c r="K36" i="24"/>
  <c r="J36" i="24"/>
  <c r="P36" i="24"/>
  <c r="O36" i="24"/>
  <c r="O42" i="24"/>
  <c r="K42" i="24"/>
  <c r="J42" i="24"/>
  <c r="P42" i="24"/>
  <c r="U40" i="24"/>
  <c r="V39" i="24"/>
  <c r="W39" i="24" s="1"/>
  <c r="V9" i="24"/>
  <c r="W9" i="24" s="1"/>
  <c r="U10" i="24"/>
  <c r="M43" i="24"/>
  <c r="Q43" i="24"/>
  <c r="J49" i="12"/>
  <c r="K49" i="12" s="1"/>
  <c r="H37" i="12" l="1"/>
  <c r="D94" i="12" s="1"/>
  <c r="H34" i="12"/>
  <c r="D91" i="12" s="1"/>
  <c r="H35" i="12"/>
  <c r="F12" i="24"/>
  <c r="L12" i="24" s="1"/>
  <c r="F13" i="24"/>
  <c r="L13" i="24" s="1"/>
  <c r="O37" i="12"/>
  <c r="I37" i="12"/>
  <c r="K37" i="12" s="1"/>
  <c r="O35" i="12"/>
  <c r="I35" i="12"/>
  <c r="K35" i="12" s="1"/>
  <c r="H13" i="24"/>
  <c r="R13" i="24" s="1"/>
  <c r="H36" i="12"/>
  <c r="D93" i="12" s="1"/>
  <c r="O34" i="12"/>
  <c r="I34" i="12"/>
  <c r="K34" i="12" s="1"/>
  <c r="O36" i="12"/>
  <c r="I36" i="12"/>
  <c r="K36" i="12" s="1"/>
  <c r="K11" i="24"/>
  <c r="O17" i="24"/>
  <c r="K17" i="24"/>
  <c r="P17" i="24"/>
  <c r="P11" i="24"/>
  <c r="O16" i="24"/>
  <c r="J11" i="24"/>
  <c r="K16" i="24"/>
  <c r="J16" i="24"/>
  <c r="C19" i="24"/>
  <c r="C8" i="24"/>
  <c r="C6" i="24"/>
  <c r="C7" i="24"/>
  <c r="C20" i="24"/>
  <c r="C9" i="24"/>
  <c r="C5" i="24"/>
  <c r="C10" i="24"/>
  <c r="C18" i="24"/>
  <c r="R12" i="24"/>
  <c r="R11" i="24"/>
  <c r="L11" i="24"/>
  <c r="L17" i="24"/>
  <c r="R17" i="24"/>
  <c r="L16" i="24"/>
  <c r="R16" i="24"/>
  <c r="P43" i="24"/>
  <c r="O43" i="24"/>
  <c r="K43" i="24"/>
  <c r="J43" i="24"/>
  <c r="R22" i="24"/>
  <c r="U41" i="24"/>
  <c r="V40" i="24"/>
  <c r="W40" i="24" s="1"/>
  <c r="V10" i="24"/>
  <c r="W10" i="24" s="1"/>
  <c r="U11" i="24"/>
  <c r="E6" i="12"/>
  <c r="D186" i="12"/>
  <c r="E12" i="24" l="1"/>
  <c r="J12" i="24" s="1"/>
  <c r="C12" i="24"/>
  <c r="C15" i="24"/>
  <c r="BB26" i="12"/>
  <c r="BA12" i="12" s="1"/>
  <c r="E45" i="12"/>
  <c r="BA16" i="12"/>
  <c r="BA20" i="12"/>
  <c r="BA18" i="12"/>
  <c r="BA13" i="12"/>
  <c r="BA11" i="12"/>
  <c r="F59" i="24"/>
  <c r="F45" i="12"/>
  <c r="D45" i="12"/>
  <c r="G23" i="24"/>
  <c r="C14" i="24"/>
  <c r="BB25" i="12"/>
  <c r="D92" i="12"/>
  <c r="C13" i="24"/>
  <c r="E13" i="24"/>
  <c r="H20" i="24"/>
  <c r="R20" i="24" s="1"/>
  <c r="G20" i="24"/>
  <c r="Q20" i="24" s="1"/>
  <c r="F20" i="24"/>
  <c r="L20" i="24" s="1"/>
  <c r="E20" i="24"/>
  <c r="F19" i="24"/>
  <c r="L19" i="24" s="1"/>
  <c r="G19" i="24"/>
  <c r="H19" i="24"/>
  <c r="R19" i="24" s="1"/>
  <c r="E19" i="24"/>
  <c r="F18" i="24"/>
  <c r="L18" i="24" s="1"/>
  <c r="G18" i="24"/>
  <c r="H18" i="24"/>
  <c r="R18" i="24" s="1"/>
  <c r="E18" i="24"/>
  <c r="E7" i="24"/>
  <c r="F7" i="24"/>
  <c r="L7" i="24" s="1"/>
  <c r="G7" i="24"/>
  <c r="H7" i="24"/>
  <c r="R7" i="24" s="1"/>
  <c r="F10" i="24"/>
  <c r="L10" i="24" s="1"/>
  <c r="H10" i="24"/>
  <c r="R10" i="24" s="1"/>
  <c r="G10" i="24"/>
  <c r="E10" i="24"/>
  <c r="F6" i="24"/>
  <c r="L6" i="24" s="1"/>
  <c r="G6" i="24"/>
  <c r="H6" i="24"/>
  <c r="R6" i="24" s="1"/>
  <c r="E6" i="24"/>
  <c r="G5" i="24"/>
  <c r="E5" i="24"/>
  <c r="F5" i="24"/>
  <c r="H5" i="24"/>
  <c r="F14" i="24"/>
  <c r="L14" i="24" s="1"/>
  <c r="G14" i="24"/>
  <c r="E14" i="24"/>
  <c r="H14" i="24"/>
  <c r="R14" i="24" s="1"/>
  <c r="E9" i="24"/>
  <c r="F9" i="24"/>
  <c r="L9" i="24" s="1"/>
  <c r="G9" i="24"/>
  <c r="H9" i="24"/>
  <c r="R9" i="24" s="1"/>
  <c r="F8" i="24"/>
  <c r="L8" i="24" s="1"/>
  <c r="H8" i="24"/>
  <c r="R8" i="24" s="1"/>
  <c r="G8" i="24"/>
  <c r="Q8" i="24" s="1"/>
  <c r="E8" i="24"/>
  <c r="E15" i="24"/>
  <c r="F15" i="24"/>
  <c r="L15" i="24" s="1"/>
  <c r="G15" i="24"/>
  <c r="H15" i="24"/>
  <c r="R15" i="24" s="1"/>
  <c r="M11" i="24"/>
  <c r="Q11" i="24"/>
  <c r="M16" i="24"/>
  <c r="Q16" i="24"/>
  <c r="M17" i="24"/>
  <c r="Q17" i="24"/>
  <c r="M12" i="24"/>
  <c r="Q12" i="24"/>
  <c r="Q13" i="24"/>
  <c r="M13" i="24"/>
  <c r="V11" i="24"/>
  <c r="W11" i="24" s="1"/>
  <c r="U12" i="24"/>
  <c r="V41" i="24"/>
  <c r="W41" i="24" s="1"/>
  <c r="U42" i="24"/>
  <c r="K12" i="24" l="1"/>
  <c r="O12" i="24"/>
  <c r="P12" i="24"/>
  <c r="BA19" i="12"/>
  <c r="BB19" i="12" s="1"/>
  <c r="BA22" i="12"/>
  <c r="BA17" i="12"/>
  <c r="BB17" i="12" s="1"/>
  <c r="BA14" i="12"/>
  <c r="BC14" i="12" s="1"/>
  <c r="BA21" i="12"/>
  <c r="K13" i="24"/>
  <c r="J13" i="24"/>
  <c r="P13" i="24"/>
  <c r="O13" i="24"/>
  <c r="BD20" i="12"/>
  <c r="BC20" i="12"/>
  <c r="BB20" i="12"/>
  <c r="H45" i="12"/>
  <c r="W45" i="12" s="1"/>
  <c r="F23" i="24"/>
  <c r="L23" i="24" s="1"/>
  <c r="BB22" i="12"/>
  <c r="BD22" i="12"/>
  <c r="BC22" i="12"/>
  <c r="O45" i="12"/>
  <c r="I45" i="12"/>
  <c r="K45" i="12" s="1"/>
  <c r="H23" i="24"/>
  <c r="R23" i="24" s="1"/>
  <c r="F58" i="24"/>
  <c r="BB27" i="12"/>
  <c r="BA15" i="12"/>
  <c r="BD17" i="12"/>
  <c r="BC11" i="12"/>
  <c r="BD11" i="12"/>
  <c r="BB11" i="12"/>
  <c r="BC21" i="12"/>
  <c r="BB21" i="12"/>
  <c r="BD21" i="12"/>
  <c r="BB13" i="12"/>
  <c r="BD13" i="12"/>
  <c r="BC13" i="12"/>
  <c r="BB12" i="12"/>
  <c r="BD12" i="12"/>
  <c r="BC12" i="12"/>
  <c r="BD18" i="12"/>
  <c r="BC18" i="12"/>
  <c r="BB18" i="12"/>
  <c r="BD16" i="12"/>
  <c r="BC16" i="12"/>
  <c r="BB16" i="12"/>
  <c r="K19" i="24"/>
  <c r="O19" i="24"/>
  <c r="P19" i="24"/>
  <c r="J19" i="24"/>
  <c r="M20" i="24"/>
  <c r="Q18" i="24"/>
  <c r="M18" i="24"/>
  <c r="M19" i="24"/>
  <c r="Q19" i="24"/>
  <c r="J18" i="24"/>
  <c r="P18" i="24"/>
  <c r="K18" i="24"/>
  <c r="O18" i="24"/>
  <c r="P20" i="24"/>
  <c r="O20" i="24"/>
  <c r="J20" i="24"/>
  <c r="K20" i="24"/>
  <c r="M8" i="24"/>
  <c r="P15" i="24"/>
  <c r="O15" i="24"/>
  <c r="K15" i="24"/>
  <c r="J15" i="24"/>
  <c r="O9" i="24"/>
  <c r="K9" i="24"/>
  <c r="J9" i="24"/>
  <c r="P9" i="24"/>
  <c r="K10" i="24"/>
  <c r="J10" i="24"/>
  <c r="P10" i="24"/>
  <c r="O10" i="24"/>
  <c r="K8" i="24"/>
  <c r="J8" i="24"/>
  <c r="O8" i="24"/>
  <c r="P8" i="24"/>
  <c r="K6" i="24"/>
  <c r="O6" i="24"/>
  <c r="J6" i="24"/>
  <c r="P6" i="24"/>
  <c r="O14" i="24"/>
  <c r="K14" i="24"/>
  <c r="J14" i="24"/>
  <c r="P14" i="24"/>
  <c r="O5" i="24"/>
  <c r="K5" i="24"/>
  <c r="J5" i="24"/>
  <c r="P5" i="24"/>
  <c r="J7" i="24"/>
  <c r="O7" i="24"/>
  <c r="P7" i="24"/>
  <c r="K7" i="24"/>
  <c r="BI11" i="12"/>
  <c r="Q9" i="24"/>
  <c r="M9" i="24"/>
  <c r="M6" i="24"/>
  <c r="Q6" i="24"/>
  <c r="M10" i="24"/>
  <c r="Q10" i="24"/>
  <c r="M14" i="24"/>
  <c r="Q14" i="24"/>
  <c r="Q7" i="24"/>
  <c r="M7" i="24"/>
  <c r="Q15" i="24"/>
  <c r="M15" i="24"/>
  <c r="L22" i="24"/>
  <c r="R24" i="24"/>
  <c r="U13" i="24"/>
  <c r="V12" i="24"/>
  <c r="W12" i="24" s="1"/>
  <c r="V42" i="24"/>
  <c r="W42" i="24" s="1"/>
  <c r="U43" i="24"/>
  <c r="K22" i="24"/>
  <c r="J22" i="24"/>
  <c r="P22" i="24"/>
  <c r="O22" i="24"/>
  <c r="D10" i="13"/>
  <c r="D9" i="13"/>
  <c r="BD14" i="12" l="1"/>
  <c r="BB14" i="12"/>
  <c r="BD19" i="12"/>
  <c r="BC19" i="12"/>
  <c r="BC17" i="12"/>
  <c r="Y45" i="12"/>
  <c r="BE11" i="12"/>
  <c r="BH11" i="12" s="1"/>
  <c r="BF11" i="12"/>
  <c r="BB15" i="12"/>
  <c r="BD15" i="12"/>
  <c r="BC15" i="12"/>
  <c r="Z107" i="12"/>
  <c r="Z99" i="12"/>
  <c r="Z43" i="12"/>
  <c r="Z45" i="12"/>
  <c r="Z115" i="12"/>
  <c r="Z98" i="12"/>
  <c r="Z42" i="12"/>
  <c r="Z101" i="12"/>
  <c r="Z112" i="12"/>
  <c r="Z44" i="12"/>
  <c r="Z109" i="12"/>
  <c r="Z102" i="12"/>
  <c r="Z41" i="12"/>
  <c r="Z105" i="12"/>
  <c r="Z110" i="12"/>
  <c r="Z97" i="12"/>
  <c r="Z40" i="12"/>
  <c r="Z113" i="12"/>
  <c r="Z108" i="12"/>
  <c r="Z100" i="12"/>
  <c r="Z114" i="12"/>
  <c r="Z96" i="12"/>
  <c r="Z106" i="12"/>
  <c r="Z111" i="12"/>
  <c r="Z46" i="12"/>
  <c r="BC25" i="12"/>
  <c r="BC26" i="12"/>
  <c r="D102" i="12"/>
  <c r="E23" i="24"/>
  <c r="J23" i="24" s="1"/>
  <c r="X45" i="12"/>
  <c r="L24" i="24"/>
  <c r="M22" i="24"/>
  <c r="Q22" i="24"/>
  <c r="M23" i="24"/>
  <c r="Q23" i="24"/>
  <c r="U44" i="24"/>
  <c r="V43" i="24"/>
  <c r="W43" i="24" s="1"/>
  <c r="U14" i="24"/>
  <c r="V13" i="24"/>
  <c r="W13" i="24" s="1"/>
  <c r="G182" i="12"/>
  <c r="L3" i="13"/>
  <c r="P23" i="24" l="1"/>
  <c r="O23" i="24"/>
  <c r="K23" i="24"/>
  <c r="O24" i="24"/>
  <c r="J24" i="24"/>
  <c r="K24" i="24"/>
  <c r="P24" i="24"/>
  <c r="M24" i="24"/>
  <c r="Q24" i="24"/>
  <c r="V44" i="24"/>
  <c r="W44" i="24" s="1"/>
  <c r="U15" i="24"/>
  <c r="V14" i="24"/>
  <c r="W14" i="24" s="1"/>
  <c r="J73" i="12"/>
  <c r="U16" i="24" l="1"/>
  <c r="V15" i="24"/>
  <c r="W15" i="24" s="1"/>
  <c r="K73" i="12"/>
  <c r="C7" i="13"/>
  <c r="AL8" i="12"/>
  <c r="AM7" i="12"/>
  <c r="AE7" i="12"/>
  <c r="U17" i="24" l="1"/>
  <c r="U18" i="24" s="1"/>
  <c r="V16" i="24"/>
  <c r="W16" i="24" s="1"/>
  <c r="A50" i="12"/>
  <c r="A25" i="24" s="1"/>
  <c r="AA39" i="12"/>
  <c r="AA38" i="12"/>
  <c r="AA37" i="12"/>
  <c r="AA36" i="12"/>
  <c r="AA35" i="12"/>
  <c r="AA34" i="12"/>
  <c r="AA33" i="12"/>
  <c r="AA32" i="12"/>
  <c r="AA31" i="12"/>
  <c r="AA30" i="12"/>
  <c r="AA29" i="12"/>
  <c r="AA28" i="12"/>
  <c r="AA27" i="12"/>
  <c r="AA50" i="12" l="1"/>
  <c r="V18" i="24"/>
  <c r="U19" i="24"/>
  <c r="W18" i="24"/>
  <c r="I25" i="24"/>
  <c r="N25" i="24"/>
  <c r="A26" i="24"/>
  <c r="A27" i="24"/>
  <c r="V17" i="24"/>
  <c r="W17" i="24" s="1"/>
  <c r="V9" i="12"/>
  <c r="W9" i="12" s="1"/>
  <c r="X9" i="12" s="1"/>
  <c r="Y9" i="12" s="1"/>
  <c r="Z9" i="12" s="1"/>
  <c r="AA9" i="12" s="1"/>
  <c r="AB9" i="12" s="1"/>
  <c r="AC9" i="12" s="1"/>
  <c r="AD9" i="12" s="1"/>
  <c r="AE9" i="12" s="1"/>
  <c r="AF9" i="12" s="1"/>
  <c r="V19" i="24" l="1"/>
  <c r="W19" i="24"/>
  <c r="U20" i="24"/>
  <c r="N27" i="24"/>
  <c r="I27" i="24"/>
  <c r="I26" i="24"/>
  <c r="N26" i="24"/>
  <c r="V82" i="12"/>
  <c r="W82" i="12" s="1"/>
  <c r="X82" i="12" s="1"/>
  <c r="Y82" i="12" s="1"/>
  <c r="Z82" i="12" s="1"/>
  <c r="AA82" i="12" s="1"/>
  <c r="U21" i="24" l="1"/>
  <c r="V20" i="24"/>
  <c r="W20" i="24" s="1"/>
  <c r="R85" i="12"/>
  <c r="AA85" i="12" l="1"/>
  <c r="V21" i="24"/>
  <c r="W21" i="24" s="1"/>
  <c r="U22" i="24"/>
  <c r="R86" i="12"/>
  <c r="AA86" i="12" l="1"/>
  <c r="U23" i="24"/>
  <c r="V22" i="24"/>
  <c r="W22" i="24"/>
  <c r="R87" i="12"/>
  <c r="AA87" i="12" l="1"/>
  <c r="U24" i="24"/>
  <c r="W23" i="24"/>
  <c r="V23" i="24"/>
  <c r="R88" i="12"/>
  <c r="AA88" i="12" l="1"/>
  <c r="U25" i="24"/>
  <c r="V24" i="24"/>
  <c r="W24" i="24"/>
  <c r="R89" i="12"/>
  <c r="AA89" i="12" l="1"/>
  <c r="W25" i="24"/>
  <c r="V25" i="24"/>
  <c r="U26" i="24"/>
  <c r="R90" i="12"/>
  <c r="AA90" i="12" l="1"/>
  <c r="W26" i="24"/>
  <c r="U27" i="24"/>
  <c r="V26" i="24"/>
  <c r="R91" i="12"/>
  <c r="AA91" i="12" l="1"/>
  <c r="V27" i="24"/>
  <c r="W27" i="24"/>
  <c r="R92" i="12"/>
  <c r="AA92" i="12" l="1"/>
  <c r="R93" i="12"/>
  <c r="AA93" i="12" l="1"/>
  <c r="R94" i="12"/>
  <c r="AA94" i="12" l="1"/>
  <c r="R95" i="12"/>
  <c r="R96" i="12" s="1"/>
  <c r="AA95" i="12" l="1"/>
  <c r="R97" i="12"/>
  <c r="AA103" i="12" l="1"/>
  <c r="R98" i="12"/>
  <c r="R99" i="12" l="1"/>
  <c r="R100" i="12" l="1"/>
  <c r="R101" i="12" l="1"/>
  <c r="R102" i="12" s="1"/>
  <c r="R103" i="12" s="1"/>
  <c r="R104" i="12" s="1"/>
  <c r="R106" i="12" s="1"/>
  <c r="R107" i="12" s="1"/>
  <c r="R108" i="12" s="1"/>
  <c r="R109" i="12" s="1"/>
  <c r="R110" i="12" s="1"/>
  <c r="R111" i="12" s="1"/>
  <c r="R112" i="12" s="1"/>
  <c r="R113" i="12" s="1"/>
  <c r="R114" i="12" s="1"/>
  <c r="R115" i="12" s="1"/>
  <c r="K47" i="12" l="1"/>
  <c r="I47" i="12"/>
  <c r="Q2" i="13" l="1"/>
  <c r="P7" i="13"/>
  <c r="E16" i="13" l="1"/>
  <c r="E17" i="13" s="1"/>
  <c r="E18" i="13" s="1"/>
  <c r="E19" i="13" s="1"/>
  <c r="E20" i="13" s="1"/>
  <c r="E21" i="13" s="1"/>
  <c r="E22" i="13" s="1"/>
  <c r="E23" i="13" s="1"/>
  <c r="E24" i="13" s="1"/>
  <c r="E25" i="13" s="1"/>
  <c r="E26" i="13" s="1"/>
  <c r="E27" i="13" s="1"/>
  <c r="H16" i="13"/>
  <c r="H17" i="13" s="1"/>
  <c r="H18" i="13" s="1"/>
  <c r="H19" i="13" s="1"/>
  <c r="H20" i="13" s="1"/>
  <c r="H21" i="13" s="1"/>
  <c r="H22" i="13" s="1"/>
  <c r="H23" i="13" s="1"/>
  <c r="H24" i="13" s="1"/>
  <c r="H25" i="13" s="1"/>
  <c r="H26" i="13" s="1"/>
  <c r="H27" i="13" s="1"/>
  <c r="C26" i="24" l="1"/>
  <c r="E26" i="24"/>
  <c r="G26" i="24"/>
  <c r="J184" i="12"/>
  <c r="G183" i="12"/>
  <c r="J183" i="12" s="1"/>
  <c r="Q26" i="24" l="1"/>
  <c r="M26" i="24"/>
  <c r="O26" i="24"/>
  <c r="P26" i="24"/>
  <c r="J26" i="24"/>
  <c r="K26" i="24"/>
  <c r="Q3" i="13"/>
  <c r="S3" i="13" s="1"/>
  <c r="E27" i="24" l="1"/>
  <c r="C27" i="24"/>
  <c r="G27" i="24"/>
  <c r="W32" i="12"/>
  <c r="X32" i="12"/>
  <c r="Y32" i="12"/>
  <c r="M27" i="24" l="1"/>
  <c r="Q27" i="24"/>
  <c r="O27" i="24"/>
  <c r="P27" i="24"/>
  <c r="J27" i="24"/>
  <c r="K27" i="24"/>
  <c r="W27" i="12" l="1"/>
  <c r="X27" i="12"/>
  <c r="Y27" i="12"/>
  <c r="W28" i="12"/>
  <c r="Y28" i="12"/>
  <c r="X28" i="12"/>
  <c r="W29" i="12"/>
  <c r="X29" i="12"/>
  <c r="Y29" i="12"/>
  <c r="W30" i="12"/>
  <c r="Y30" i="12"/>
  <c r="X30" i="12"/>
  <c r="W38" i="12"/>
  <c r="X38" i="12"/>
  <c r="Y38" i="12"/>
  <c r="W31" i="12"/>
  <c r="X31" i="12"/>
  <c r="Y31" i="12"/>
  <c r="W37" i="12"/>
  <c r="Y37" i="12"/>
  <c r="X37" i="12"/>
  <c r="W34" i="12"/>
  <c r="X34" i="12"/>
  <c r="Y34" i="12"/>
  <c r="W36" i="12"/>
  <c r="X36" i="12"/>
  <c r="Y36" i="12"/>
  <c r="W33" i="12"/>
  <c r="X33" i="12"/>
  <c r="Y33" i="12"/>
  <c r="W35" i="12"/>
  <c r="X35" i="12"/>
  <c r="Y35" i="12"/>
  <c r="W39" i="12"/>
  <c r="X39" i="12"/>
  <c r="Y39" i="12"/>
  <c r="E190" i="12"/>
  <c r="E189" i="12"/>
  <c r="F67" i="12" l="1"/>
  <c r="E67" i="12"/>
  <c r="D67" i="12"/>
  <c r="I26" i="12" l="1"/>
  <c r="H175" i="12" l="1"/>
  <c r="F175" i="12"/>
  <c r="I175" i="12" l="1"/>
  <c r="K67" i="12" l="1"/>
  <c r="K26" i="12"/>
  <c r="I182" i="12" l="1"/>
  <c r="H50" i="12" l="1"/>
  <c r="D104" i="12" l="1"/>
  <c r="D116" i="12" s="1"/>
  <c r="H53" i="12"/>
  <c r="C25" i="24"/>
  <c r="E25" i="24" s="1"/>
  <c r="E63" i="12"/>
  <c r="F50" i="24" s="1"/>
  <c r="E59" i="12"/>
  <c r="C21" i="24"/>
  <c r="E50" i="12"/>
  <c r="G25" i="24" s="1"/>
  <c r="J26" i="12"/>
  <c r="I23" i="12" l="1"/>
  <c r="G46" i="12"/>
  <c r="G27" i="12"/>
  <c r="G38" i="12"/>
  <c r="G34" i="12"/>
  <c r="F51" i="24"/>
  <c r="J51" i="24"/>
  <c r="F21" i="24"/>
  <c r="L21" i="24" s="1"/>
  <c r="G21" i="24"/>
  <c r="H21" i="24"/>
  <c r="R21" i="24" s="1"/>
  <c r="E21" i="24"/>
  <c r="Q25" i="24"/>
  <c r="M25" i="24"/>
  <c r="J25" i="24"/>
  <c r="K25" i="24"/>
  <c r="O25" i="24"/>
  <c r="P25" i="24"/>
  <c r="L64" i="12"/>
  <c r="L63" i="12" s="1"/>
  <c r="X12" i="12"/>
  <c r="X21" i="12"/>
  <c r="X18" i="12"/>
  <c r="X16" i="12"/>
  <c r="X15" i="12"/>
  <c r="X20" i="12"/>
  <c r="X13" i="12"/>
  <c r="X19" i="12"/>
  <c r="Z13" i="12"/>
  <c r="X17" i="12"/>
  <c r="C104" i="12"/>
  <c r="AA104" i="12" s="1"/>
  <c r="C84" i="12"/>
  <c r="AA84" i="12" s="1"/>
  <c r="K21" i="24" l="1"/>
  <c r="J21" i="24"/>
  <c r="P21" i="24"/>
  <c r="O21" i="24"/>
  <c r="C55" i="24"/>
  <c r="Q21" i="24"/>
  <c r="M21" i="24"/>
  <c r="L59" i="12"/>
  <c r="BE12" i="12"/>
  <c r="Y17" i="12"/>
  <c r="Y21" i="12"/>
  <c r="Y12" i="12"/>
  <c r="Y14" i="12"/>
  <c r="Y19" i="12"/>
  <c r="Y18" i="12"/>
  <c r="Y20" i="12"/>
  <c r="Y15" i="12"/>
  <c r="W12" i="12"/>
  <c r="W13" i="12"/>
  <c r="BE13" i="12"/>
  <c r="W15" i="12"/>
  <c r="BE15" i="12"/>
  <c r="W20" i="12"/>
  <c r="BE20" i="12"/>
  <c r="W14" i="12"/>
  <c r="BE14" i="12"/>
  <c r="W21" i="12"/>
  <c r="BE21" i="12"/>
  <c r="W16" i="12"/>
  <c r="BE16" i="12"/>
  <c r="BE17" i="12"/>
  <c r="W18" i="12"/>
  <c r="BE18" i="12"/>
  <c r="BE22" i="12"/>
  <c r="W19" i="12"/>
  <c r="BE19" i="12"/>
  <c r="O18" i="12"/>
  <c r="W17" i="12"/>
  <c r="Y16" i="12"/>
  <c r="O21" i="12"/>
  <c r="O16" i="12"/>
  <c r="Z103" i="12"/>
  <c r="O20" i="12"/>
  <c r="O12" i="12"/>
  <c r="Z50" i="12"/>
  <c r="O19" i="12"/>
  <c r="O17" i="12"/>
  <c r="Z19" i="12"/>
  <c r="O15" i="12"/>
  <c r="Z90" i="12"/>
  <c r="Z36" i="12"/>
  <c r="Z17" i="12"/>
  <c r="Z95" i="12"/>
  <c r="Z33" i="12"/>
  <c r="O14" i="12"/>
  <c r="Z88" i="12"/>
  <c r="Z32" i="12"/>
  <c r="X11" i="12"/>
  <c r="X14" i="12"/>
  <c r="Z18" i="12"/>
  <c r="Z12" i="12"/>
  <c r="Z87" i="12"/>
  <c r="Z31" i="12"/>
  <c r="Z11" i="12"/>
  <c r="Z38" i="12"/>
  <c r="Z85" i="12"/>
  <c r="Z30" i="12"/>
  <c r="Z21" i="12"/>
  <c r="Z89" i="12"/>
  <c r="Z104" i="12"/>
  <c r="Z28" i="12"/>
  <c r="Y13" i="12"/>
  <c r="O13" i="12"/>
  <c r="Z93" i="12"/>
  <c r="Z39" i="12"/>
  <c r="Z20" i="12"/>
  <c r="Z94" i="12"/>
  <c r="Z86" i="12"/>
  <c r="Z37" i="12"/>
  <c r="Z29" i="12"/>
  <c r="Z16" i="12"/>
  <c r="Z15" i="12"/>
  <c r="Z92" i="12"/>
  <c r="Z84" i="12"/>
  <c r="Z35" i="12"/>
  <c r="Z27" i="12"/>
  <c r="Z14" i="12"/>
  <c r="Z91" i="12"/>
  <c r="Z34" i="12"/>
  <c r="Z22" i="12"/>
  <c r="O11" i="12"/>
  <c r="Y11" i="12"/>
  <c r="W11" i="12"/>
  <c r="I73" i="12"/>
  <c r="C2" i="13"/>
  <c r="BI22" i="12" l="1"/>
  <c r="BH22" i="12"/>
  <c r="BI21" i="12"/>
  <c r="BH21" i="12"/>
  <c r="BI19" i="12"/>
  <c r="BH19" i="12"/>
  <c r="BI18" i="12"/>
  <c r="BH18" i="12"/>
  <c r="BI20" i="12"/>
  <c r="BH20" i="12"/>
  <c r="BI17" i="12"/>
  <c r="BH17" i="12"/>
  <c r="BI16" i="12"/>
  <c r="BH16" i="12"/>
  <c r="BI15" i="12"/>
  <c r="BH15" i="12"/>
  <c r="BI14" i="12"/>
  <c r="BH14" i="12"/>
  <c r="BH13" i="12"/>
  <c r="BI13" i="12"/>
  <c r="BH12" i="12"/>
  <c r="BI12" i="12"/>
  <c r="E68" i="12"/>
  <c r="D7" i="13"/>
  <c r="BI23" i="12" l="1"/>
  <c r="I51" i="24" s="1"/>
  <c r="C58" i="24" s="1"/>
  <c r="BH23" i="12"/>
  <c r="I50" i="24" s="1"/>
  <c r="C59" i="24" s="1"/>
  <c r="X50" i="12"/>
  <c r="B15" i="13"/>
  <c r="B16" i="13" s="1"/>
  <c r="C11" i="13"/>
  <c r="A10" i="13"/>
  <c r="A9" i="13"/>
  <c r="C15" i="13"/>
  <c r="L10" i="12"/>
  <c r="C62" i="24" l="1"/>
  <c r="C63" i="24" s="1"/>
  <c r="R5" i="24"/>
  <c r="L5" i="24"/>
  <c r="AG10" i="12"/>
  <c r="T10" i="12"/>
  <c r="V10" i="12"/>
  <c r="AR10" i="12"/>
  <c r="AN10" i="12"/>
  <c r="AF10" i="12"/>
  <c r="O3" i="12"/>
  <c r="B17" i="13"/>
  <c r="C17" i="13" s="1"/>
  <c r="C16" i="13"/>
  <c r="B18" i="13"/>
  <c r="M5" i="24" l="1"/>
  <c r="Q5" i="24"/>
  <c r="B19" i="13"/>
  <c r="C18" i="13"/>
  <c r="B20" i="13" l="1"/>
  <c r="C19" i="13"/>
  <c r="C20" i="13" l="1"/>
  <c r="B21" i="13"/>
  <c r="B22" i="13" l="1"/>
  <c r="C21" i="13"/>
  <c r="B23" i="13" l="1"/>
  <c r="C22" i="13"/>
  <c r="C23" i="13" l="1"/>
  <c r="B24" i="13"/>
  <c r="B25" i="13" l="1"/>
  <c r="C24" i="13"/>
  <c r="B26" i="13" l="1"/>
  <c r="C25" i="13"/>
  <c r="B27" i="13" l="1"/>
  <c r="C26" i="13"/>
  <c r="C27" i="13" l="1"/>
  <c r="J182" i="12" l="1"/>
  <c r="N3" i="13" l="1"/>
  <c r="L2" i="13"/>
  <c r="AL10" i="12" l="1"/>
  <c r="AD10" i="12"/>
  <c r="D11" i="13" l="1"/>
  <c r="E73" i="12"/>
  <c r="F73" i="12" s="1"/>
  <c r="BF23" i="12"/>
  <c r="Y22" i="12"/>
  <c r="O22" i="12"/>
  <c r="X22" i="12"/>
  <c r="W22" i="12"/>
  <c r="D75" i="12" l="1"/>
  <c r="BG12" i="12"/>
  <c r="BG17" i="12"/>
  <c r="BG21" i="12"/>
  <c r="BG16" i="12"/>
  <c r="BG15" i="12"/>
  <c r="BG18" i="12"/>
  <c r="BG19" i="12"/>
  <c r="BG14" i="12"/>
  <c r="BG13" i="12"/>
  <c r="BG20" i="12"/>
  <c r="BG22" i="12"/>
  <c r="BG23" i="12" l="1"/>
  <c r="K50" i="12" l="1"/>
  <c r="K52" i="12" s="1"/>
  <c r="F2" i="13"/>
  <c r="H3" i="13" s="1"/>
  <c r="G193" i="12"/>
  <c r="E70" i="12"/>
  <c r="F3" i="13"/>
  <c r="E8" i="12"/>
  <c r="I50" i="12" l="1"/>
  <c r="F50" i="12" s="1"/>
  <c r="J63" i="12"/>
  <c r="I63" i="12" s="1"/>
  <c r="J59" i="12"/>
  <c r="I59" i="12" s="1"/>
  <c r="H26" i="24"/>
  <c r="R26" i="24" s="1"/>
  <c r="G194" i="12"/>
  <c r="G195" i="12"/>
  <c r="F26" i="24"/>
  <c r="L26" i="24" s="1"/>
  <c r="G196" i="12" l="1"/>
  <c r="F51" i="12"/>
  <c r="H25" i="24"/>
  <c r="R25" i="24" s="1"/>
  <c r="D50" i="12"/>
  <c r="H59" i="12"/>
  <c r="D59" i="12"/>
  <c r="F59" i="12"/>
  <c r="H63" i="12"/>
  <c r="F63" i="12"/>
  <c r="D63" i="12"/>
  <c r="Y50" i="12"/>
  <c r="K23" i="12"/>
  <c r="K68" i="12" s="1"/>
  <c r="H27" i="24"/>
  <c r="R27" i="24" s="1"/>
  <c r="F27" i="24"/>
  <c r="L27" i="24" s="1"/>
  <c r="D51" i="12" l="1"/>
  <c r="F25" i="24"/>
  <c r="L25" i="24" s="1"/>
  <c r="L46" i="12"/>
  <c r="L45" i="12"/>
  <c r="L44" i="12"/>
  <c r="L43" i="12"/>
  <c r="L42" i="12"/>
  <c r="L41" i="12"/>
  <c r="L40" i="12"/>
  <c r="AD40" i="12"/>
  <c r="AF46" i="12"/>
  <c r="AF40" i="12"/>
  <c r="AD42" i="12"/>
  <c r="AD44" i="12"/>
  <c r="AD41" i="12"/>
  <c r="AF42" i="12"/>
  <c r="AD43" i="12"/>
  <c r="AF44" i="12"/>
  <c r="AF41" i="12"/>
  <c r="AF43" i="12"/>
  <c r="AF45" i="12"/>
  <c r="AD45" i="12"/>
  <c r="AD46" i="12"/>
  <c r="W50" i="12"/>
  <c r="O50" i="12"/>
  <c r="AD11" i="12"/>
  <c r="L15" i="12"/>
  <c r="L38" i="12"/>
  <c r="L37" i="12"/>
  <c r="L39" i="12"/>
  <c r="L28" i="12"/>
  <c r="L21" i="12"/>
  <c r="L12" i="12"/>
  <c r="L11" i="12"/>
  <c r="L30" i="12"/>
  <c r="J68" i="12"/>
  <c r="I8" i="12" s="1"/>
  <c r="L29" i="12"/>
  <c r="L19" i="12"/>
  <c r="L36" i="12"/>
  <c r="L33" i="12"/>
  <c r="L32" i="12"/>
  <c r="L18" i="12"/>
  <c r="L14" i="12"/>
  <c r="L35" i="12"/>
  <c r="L17" i="12"/>
  <c r="L16" i="12"/>
  <c r="L13" i="12"/>
  <c r="L31" i="12"/>
  <c r="L27" i="12"/>
  <c r="L20" i="12"/>
  <c r="L22" i="12"/>
  <c r="L50" i="12"/>
  <c r="L34" i="12"/>
  <c r="AD37" i="12"/>
  <c r="AF33" i="12"/>
  <c r="AD32" i="12"/>
  <c r="AD35" i="12"/>
  <c r="AD50" i="12"/>
  <c r="AF36" i="12"/>
  <c r="AF34" i="12"/>
  <c r="AF35" i="12"/>
  <c r="AD27" i="12"/>
  <c r="AD36" i="12"/>
  <c r="AD34" i="12"/>
  <c r="AD31" i="12"/>
  <c r="AF31" i="12"/>
  <c r="AF50" i="12"/>
  <c r="AF27" i="12"/>
  <c r="AD28" i="12"/>
  <c r="AF30" i="12"/>
  <c r="AF28" i="12"/>
  <c r="AF38" i="12"/>
  <c r="AD30" i="12"/>
  <c r="AF29" i="12"/>
  <c r="AD38" i="12"/>
  <c r="AF39" i="12"/>
  <c r="AD29" i="12"/>
  <c r="AD39" i="12"/>
  <c r="AF37" i="12"/>
  <c r="AD33" i="12"/>
  <c r="AF32" i="12"/>
  <c r="AD20" i="12"/>
  <c r="AD19" i="12"/>
  <c r="AD14" i="12"/>
  <c r="AF15" i="12"/>
  <c r="AF13" i="12"/>
  <c r="AD22" i="12"/>
  <c r="AF12" i="12"/>
  <c r="AD18" i="12"/>
  <c r="AF18" i="12"/>
  <c r="AD17" i="12"/>
  <c r="AF19" i="12"/>
  <c r="AD13" i="12"/>
  <c r="AD12" i="12"/>
  <c r="AF14" i="12"/>
  <c r="AF22" i="12"/>
  <c r="AF16" i="12"/>
  <c r="AF21" i="12"/>
  <c r="AD15" i="12"/>
  <c r="AD16" i="12"/>
  <c r="AF17" i="12"/>
  <c r="AD21" i="12"/>
  <c r="AF20" i="12"/>
  <c r="AF11" i="12"/>
  <c r="L52" i="12" l="1"/>
  <c r="E183" i="12" s="1"/>
  <c r="AG42" i="12"/>
  <c r="AH42" i="12" s="1"/>
  <c r="AG40" i="12"/>
  <c r="AH40" i="12" s="1"/>
  <c r="AG43" i="12"/>
  <c r="AH43" i="12" s="1"/>
  <c r="T42" i="12"/>
  <c r="V42" i="12"/>
  <c r="T43" i="12"/>
  <c r="V43" i="12"/>
  <c r="AG45" i="12"/>
  <c r="AH45" i="12" s="1"/>
  <c r="T44" i="12"/>
  <c r="V44" i="12"/>
  <c r="T45" i="12"/>
  <c r="V45" i="12"/>
  <c r="T41" i="12"/>
  <c r="V41" i="12"/>
  <c r="AG41" i="12"/>
  <c r="AH41" i="12" s="1"/>
  <c r="AG46" i="12"/>
  <c r="AH46" i="12" s="1"/>
  <c r="T46" i="12"/>
  <c r="V46" i="12"/>
  <c r="AG44" i="12"/>
  <c r="AH44" i="12" s="1"/>
  <c r="T40" i="12"/>
  <c r="V40" i="12"/>
  <c r="AG11" i="12"/>
  <c r="AH11" i="12" s="1"/>
  <c r="AG35" i="12"/>
  <c r="AH35" i="12" s="1"/>
  <c r="AG18" i="12"/>
  <c r="AH18" i="12" s="1"/>
  <c r="AG30" i="12"/>
  <c r="AH30" i="12" s="1"/>
  <c r="AG22" i="12"/>
  <c r="AH22" i="12" s="1"/>
  <c r="AG34" i="12"/>
  <c r="AH34" i="12" s="1"/>
  <c r="AG16" i="12"/>
  <c r="AH16" i="12" s="1"/>
  <c r="AG32" i="12"/>
  <c r="AH32" i="12" s="1"/>
  <c r="AG12" i="12"/>
  <c r="AH12" i="12" s="1"/>
  <c r="AG31" i="12"/>
  <c r="AH31" i="12" s="1"/>
  <c r="AG29" i="12"/>
  <c r="AH29" i="12" s="1"/>
  <c r="AG19" i="12"/>
  <c r="AH19" i="12" s="1"/>
  <c r="AG28" i="12"/>
  <c r="AH28" i="12" s="1"/>
  <c r="AG33" i="12"/>
  <c r="AH33" i="12" s="1"/>
  <c r="AG15" i="12"/>
  <c r="AH15" i="12" s="1"/>
  <c r="AG21" i="12"/>
  <c r="AH21" i="12" s="1"/>
  <c r="V33" i="12"/>
  <c r="V36" i="12"/>
  <c r="AG27" i="12"/>
  <c r="AH27" i="12" s="1"/>
  <c r="V50" i="12"/>
  <c r="V35" i="12"/>
  <c r="V19" i="12"/>
  <c r="V39" i="12"/>
  <c r="V16" i="12"/>
  <c r="V21" i="12"/>
  <c r="AG39" i="12"/>
  <c r="AH39" i="12" s="1"/>
  <c r="V34" i="12"/>
  <c r="V17" i="12"/>
  <c r="V28" i="12"/>
  <c r="AG20" i="12"/>
  <c r="AH20" i="12" s="1"/>
  <c r="AG14" i="12"/>
  <c r="AH14" i="12" s="1"/>
  <c r="AG50" i="12"/>
  <c r="AH50" i="12" s="1"/>
  <c r="AG36" i="12"/>
  <c r="AH36" i="12" s="1"/>
  <c r="V22" i="12"/>
  <c r="V14" i="12"/>
  <c r="V29" i="12"/>
  <c r="V37" i="12"/>
  <c r="V20" i="12"/>
  <c r="B5" i="13"/>
  <c r="H68" i="12"/>
  <c r="H8" i="12" s="1"/>
  <c r="D24" i="13"/>
  <c r="D19" i="13"/>
  <c r="D68" i="12"/>
  <c r="D23" i="13"/>
  <c r="K3" i="13"/>
  <c r="F68" i="12"/>
  <c r="D25" i="13"/>
  <c r="H177" i="12"/>
  <c r="D21" i="13"/>
  <c r="P3" i="13"/>
  <c r="R2" i="13" s="1"/>
  <c r="R3" i="13" s="1"/>
  <c r="L8" i="13"/>
  <c r="D27" i="13"/>
  <c r="H73" i="12"/>
  <c r="E74" i="12" s="1"/>
  <c r="F177" i="12"/>
  <c r="D16" i="13"/>
  <c r="D15" i="13"/>
  <c r="L9" i="13"/>
  <c r="D22" i="13"/>
  <c r="D18" i="13"/>
  <c r="D26" i="13"/>
  <c r="D17" i="13"/>
  <c r="D20" i="13"/>
  <c r="V38" i="12"/>
  <c r="AG17" i="12"/>
  <c r="AH17" i="12" s="1"/>
  <c r="V27" i="12"/>
  <c r="V30" i="12"/>
  <c r="V15" i="12"/>
  <c r="AG13" i="12"/>
  <c r="AH13" i="12" s="1"/>
  <c r="AG37" i="12"/>
  <c r="AH37" i="12" s="1"/>
  <c r="AG38" i="12"/>
  <c r="AH38" i="12" s="1"/>
  <c r="V31" i="12"/>
  <c r="V18" i="12"/>
  <c r="L23" i="12"/>
  <c r="V11" i="12"/>
  <c r="V13" i="12"/>
  <c r="V32" i="12"/>
  <c r="V12" i="12"/>
  <c r="E177" i="12" l="1"/>
  <c r="G66" i="12" s="1"/>
  <c r="E103" i="12"/>
  <c r="H103" i="12" s="1"/>
  <c r="E109" i="12"/>
  <c r="H109" i="12" s="1"/>
  <c r="E115" i="12"/>
  <c r="H115" i="12" s="1"/>
  <c r="E110" i="12"/>
  <c r="H110" i="12" s="1"/>
  <c r="E108" i="12"/>
  <c r="H108" i="12" s="1"/>
  <c r="E105" i="12"/>
  <c r="H105" i="12" s="1"/>
  <c r="E111" i="12"/>
  <c r="H111" i="12" s="1"/>
  <c r="E106" i="12"/>
  <c r="H106" i="12" s="1"/>
  <c r="E107" i="12"/>
  <c r="H107" i="12" s="1"/>
  <c r="E112" i="12"/>
  <c r="H112" i="12" s="1"/>
  <c r="E113" i="12"/>
  <c r="H113" i="12" s="1"/>
  <c r="E114" i="12"/>
  <c r="H114" i="12" s="1"/>
  <c r="E96" i="12"/>
  <c r="H96" i="12" s="1"/>
  <c r="E99" i="12"/>
  <c r="H99" i="12" s="1"/>
  <c r="E102" i="12"/>
  <c r="H102" i="12" s="1"/>
  <c r="E98" i="12"/>
  <c r="H98" i="12" s="1"/>
  <c r="E101" i="12"/>
  <c r="H101" i="12" s="1"/>
  <c r="E97" i="12"/>
  <c r="H97" i="12" s="1"/>
  <c r="E100" i="12"/>
  <c r="H100" i="12" s="1"/>
  <c r="L10" i="13"/>
  <c r="G17" i="13"/>
  <c r="F17" i="13"/>
  <c r="I193" i="12"/>
  <c r="F70" i="12"/>
  <c r="F8" i="12"/>
  <c r="E182" i="12"/>
  <c r="E188" i="12" s="1"/>
  <c r="L24" i="12"/>
  <c r="E90" i="12"/>
  <c r="H90" i="12" s="1"/>
  <c r="E93" i="12"/>
  <c r="H93" i="12" s="1"/>
  <c r="E95" i="12"/>
  <c r="H95" i="12" s="1"/>
  <c r="E89" i="12"/>
  <c r="H89" i="12" s="1"/>
  <c r="E92" i="12"/>
  <c r="H92" i="12" s="1"/>
  <c r="E87" i="12"/>
  <c r="H87" i="12" s="1"/>
  <c r="E94" i="12"/>
  <c r="H94" i="12" s="1"/>
  <c r="E84" i="12"/>
  <c r="E85" i="12"/>
  <c r="H85" i="12" s="1"/>
  <c r="E104" i="12"/>
  <c r="H104" i="12" s="1"/>
  <c r="E91" i="12"/>
  <c r="H91" i="12" s="1"/>
  <c r="E88" i="12"/>
  <c r="H88" i="12" s="1"/>
  <c r="E86" i="12"/>
  <c r="H86" i="12" s="1"/>
  <c r="M2" i="13"/>
  <c r="M3" i="13"/>
  <c r="F26" i="13"/>
  <c r="G26" i="13"/>
  <c r="F27" i="13"/>
  <c r="G27" i="13"/>
  <c r="G23" i="13"/>
  <c r="F23" i="13"/>
  <c r="E193" i="12"/>
  <c r="D70" i="12"/>
  <c r="D8" i="12"/>
  <c r="F22" i="13"/>
  <c r="G22" i="13"/>
  <c r="G21" i="13"/>
  <c r="F21" i="13"/>
  <c r="G24" i="13"/>
  <c r="F24" i="13"/>
  <c r="F18" i="13"/>
  <c r="G18" i="13"/>
  <c r="F19" i="13"/>
  <c r="G19" i="13"/>
  <c r="G15" i="13"/>
  <c r="F15" i="13"/>
  <c r="F20" i="13"/>
  <c r="G20" i="13"/>
  <c r="G16" i="13"/>
  <c r="F16" i="13"/>
  <c r="F25" i="13"/>
  <c r="G25" i="13"/>
  <c r="V106" i="12" l="1"/>
  <c r="T106" i="12"/>
  <c r="V111" i="12"/>
  <c r="T111" i="12"/>
  <c r="E116" i="12"/>
  <c r="V105" i="12"/>
  <c r="T105" i="12"/>
  <c r="V108" i="12"/>
  <c r="T108" i="12"/>
  <c r="V114" i="12"/>
  <c r="T114" i="12"/>
  <c r="V110" i="12"/>
  <c r="T110" i="12"/>
  <c r="V113" i="12"/>
  <c r="T113" i="12"/>
  <c r="V115" i="12"/>
  <c r="T115" i="12"/>
  <c r="V112" i="12"/>
  <c r="T112" i="12"/>
  <c r="V109" i="12"/>
  <c r="T109" i="12"/>
  <c r="V107" i="12"/>
  <c r="T107" i="12"/>
  <c r="T100" i="12"/>
  <c r="V100" i="12"/>
  <c r="T97" i="12"/>
  <c r="V97" i="12"/>
  <c r="V101" i="12"/>
  <c r="T101" i="12"/>
  <c r="V98" i="12"/>
  <c r="T98" i="12"/>
  <c r="V102" i="12"/>
  <c r="T102" i="12"/>
  <c r="V99" i="12"/>
  <c r="T99" i="12"/>
  <c r="V96" i="12"/>
  <c r="T96" i="12"/>
  <c r="E186" i="12"/>
  <c r="E198" i="12" s="1"/>
  <c r="J76" i="12"/>
  <c r="H24" i="12"/>
  <c r="F6" i="12"/>
  <c r="V86" i="12"/>
  <c r="T86" i="12"/>
  <c r="T87" i="12"/>
  <c r="V87" i="12"/>
  <c r="V88" i="12"/>
  <c r="T88" i="12"/>
  <c r="V91" i="12"/>
  <c r="T91" i="12"/>
  <c r="T92" i="12"/>
  <c r="V92" i="12"/>
  <c r="T104" i="12"/>
  <c r="V104" i="12"/>
  <c r="V95" i="12"/>
  <c r="T95" i="12"/>
  <c r="T85" i="12"/>
  <c r="V85" i="12"/>
  <c r="V93" i="12"/>
  <c r="T93" i="12"/>
  <c r="I194" i="12"/>
  <c r="I195" i="12"/>
  <c r="T94" i="12"/>
  <c r="V94" i="12"/>
  <c r="E194" i="12"/>
  <c r="E195" i="12"/>
  <c r="H84" i="12"/>
  <c r="H116" i="12" s="1"/>
  <c r="V89" i="12"/>
  <c r="T89" i="12"/>
  <c r="T103" i="12"/>
  <c r="V103" i="12"/>
  <c r="T90" i="12"/>
  <c r="V90" i="12"/>
  <c r="E196" i="12" l="1"/>
  <c r="I196" i="12"/>
  <c r="T84" i="12"/>
  <c r="U84" i="12" s="1"/>
  <c r="V84" i="12"/>
  <c r="E192" i="12" l="1"/>
  <c r="U115" i="12"/>
  <c r="U102" i="12"/>
  <c r="U93" i="12"/>
  <c r="U96" i="12"/>
  <c r="U90" i="12"/>
  <c r="U95" i="12"/>
  <c r="U94" i="12"/>
  <c r="U111" i="12"/>
  <c r="U105" i="12"/>
  <c r="U98" i="12"/>
  <c r="U103" i="12"/>
  <c r="U114" i="12"/>
  <c r="U104" i="12"/>
  <c r="U113" i="12"/>
  <c r="U91" i="12"/>
  <c r="U106" i="12"/>
  <c r="U87" i="12"/>
  <c r="U88" i="12"/>
  <c r="U107" i="12"/>
  <c r="U112" i="12"/>
  <c r="U110" i="12"/>
  <c r="U100" i="12"/>
  <c r="U97" i="12"/>
  <c r="U92" i="12"/>
  <c r="U99" i="12"/>
  <c r="U109" i="12"/>
  <c r="U85" i="12"/>
  <c r="U108" i="12"/>
  <c r="U86" i="12"/>
  <c r="U101" i="12"/>
  <c r="U89" i="12"/>
  <c r="AS99" i="12" l="1"/>
  <c r="AQ98" i="12"/>
  <c r="AQ102" i="12"/>
  <c r="AQ99" i="12"/>
  <c r="AS102" i="12"/>
  <c r="AS98" i="12"/>
  <c r="AQ101" i="12"/>
  <c r="AQ97" i="12"/>
  <c r="AS101" i="12"/>
  <c r="AS97" i="12"/>
  <c r="AQ100" i="12"/>
  <c r="AS96" i="12"/>
  <c r="AS100" i="12"/>
  <c r="AQ96" i="12"/>
  <c r="AS84" i="12"/>
  <c r="AQ84" i="12"/>
  <c r="AS89" i="12"/>
  <c r="AQ90" i="12"/>
  <c r="AQ103" i="12"/>
  <c r="AQ91" i="12"/>
  <c r="AS87" i="12"/>
  <c r="AQ88" i="12"/>
  <c r="AQ92" i="12"/>
  <c r="AQ89" i="12"/>
  <c r="AQ87" i="12"/>
  <c r="AS95" i="12"/>
  <c r="AQ85" i="12"/>
  <c r="AS104" i="12"/>
  <c r="AS85" i="12"/>
  <c r="AS91" i="12"/>
  <c r="AQ86" i="12"/>
  <c r="AS90" i="12"/>
  <c r="AS86" i="12"/>
  <c r="AS94" i="12"/>
  <c r="AS93" i="12"/>
  <c r="AQ95" i="12"/>
  <c r="AQ93" i="12"/>
  <c r="AS92" i="12"/>
  <c r="AS103" i="12"/>
  <c r="AQ104" i="12"/>
  <c r="AQ94" i="12"/>
  <c r="AS88" i="12"/>
  <c r="R50" i="12"/>
  <c r="T50" i="12" l="1"/>
  <c r="R15" i="12"/>
  <c r="T15" i="12" l="1"/>
  <c r="R36" i="12"/>
  <c r="T36" i="12" l="1"/>
  <c r="R35" i="12"/>
  <c r="T35" i="12" l="1"/>
  <c r="R34" i="12"/>
  <c r="T34" i="12" l="1"/>
  <c r="R21" i="12"/>
  <c r="T21" i="12" l="1"/>
  <c r="R39" i="12"/>
  <c r="T39" i="12" l="1"/>
  <c r="R32" i="12"/>
  <c r="T32" i="12" l="1"/>
  <c r="R20" i="12"/>
  <c r="T20" i="12" l="1"/>
  <c r="R19" i="12"/>
  <c r="T19" i="12" l="1"/>
  <c r="R13" i="12"/>
  <c r="T13" i="12" l="1"/>
  <c r="R30" i="12"/>
  <c r="T30" i="12" l="1"/>
  <c r="R31" i="12"/>
  <c r="T31" i="12" l="1"/>
  <c r="S34" i="12"/>
  <c r="S28" i="12"/>
  <c r="R27" i="12"/>
  <c r="S31" i="12"/>
  <c r="S39" i="12"/>
  <c r="S29" i="12"/>
  <c r="S32" i="12"/>
  <c r="S33" i="12"/>
  <c r="S30" i="12"/>
  <c r="S36" i="12"/>
  <c r="S50" i="12"/>
  <c r="S35" i="12"/>
  <c r="S38" i="12"/>
  <c r="S37" i="12"/>
  <c r="S27" i="12"/>
  <c r="T27" i="12" l="1"/>
  <c r="R12" i="12"/>
  <c r="T12" i="12" l="1"/>
  <c r="R16" i="12"/>
  <c r="T16" i="12" l="1"/>
  <c r="R18" i="12"/>
  <c r="T18" i="12" l="1"/>
  <c r="R14" i="12"/>
  <c r="T14" i="12" l="1"/>
  <c r="R38" i="12"/>
  <c r="T38" i="12" l="1"/>
  <c r="R22" i="12"/>
  <c r="T22" i="12" l="1"/>
  <c r="R37" i="12"/>
  <c r="T37" i="12" l="1"/>
  <c r="R28" i="12"/>
  <c r="T28" i="12" l="1"/>
  <c r="R33" i="12"/>
  <c r="T33" i="12" l="1"/>
  <c r="R17" i="12"/>
  <c r="T17" i="12" l="1"/>
  <c r="R29" i="12"/>
  <c r="T29" i="12" l="1"/>
  <c r="S15" i="12"/>
  <c r="S14" i="12"/>
  <c r="S13" i="12"/>
  <c r="S12" i="12"/>
  <c r="S11" i="12"/>
  <c r="S17" i="12"/>
  <c r="S18" i="12"/>
  <c r="R11" i="12"/>
  <c r="S21" i="12"/>
  <c r="S19" i="12"/>
  <c r="S20" i="12"/>
  <c r="S22" i="12"/>
  <c r="S16" i="12"/>
  <c r="T11" i="12" l="1"/>
  <c r="R6" i="12"/>
  <c r="U45" i="12" l="1"/>
  <c r="U46" i="12"/>
  <c r="U44" i="12"/>
  <c r="U43" i="12"/>
  <c r="U41" i="12"/>
  <c r="U40" i="12"/>
  <c r="U42" i="12"/>
  <c r="U11" i="12"/>
  <c r="U50" i="12"/>
  <c r="U15" i="12"/>
  <c r="U36" i="12"/>
  <c r="U35" i="12"/>
  <c r="U34" i="12"/>
  <c r="U21" i="12"/>
  <c r="U39" i="12"/>
  <c r="U32" i="12"/>
  <c r="U20" i="12"/>
  <c r="U19" i="12"/>
  <c r="U13" i="12"/>
  <c r="U30" i="12"/>
  <c r="U31" i="12"/>
  <c r="U27" i="12"/>
  <c r="U12" i="12"/>
  <c r="U16" i="12"/>
  <c r="U18" i="12"/>
  <c r="U14" i="12"/>
  <c r="U38" i="12"/>
  <c r="U22" i="12"/>
  <c r="U37" i="12"/>
  <c r="U28" i="12"/>
  <c r="U33" i="12"/>
  <c r="U17" i="12"/>
  <c r="U29" i="12"/>
  <c r="AU40" i="12" l="1"/>
  <c r="AP41" i="12"/>
  <c r="AT43" i="12"/>
  <c r="AJ44" i="12"/>
  <c r="AS46" i="12"/>
  <c r="AT40" i="12"/>
  <c r="AJ41" i="12"/>
  <c r="AS43" i="12"/>
  <c r="AU45" i="12"/>
  <c r="AP46" i="12"/>
  <c r="AT46" i="12"/>
  <c r="AS40" i="12"/>
  <c r="AU42" i="12"/>
  <c r="AP43" i="12"/>
  <c r="AT45" i="12"/>
  <c r="AJ46" i="12"/>
  <c r="AP45" i="12"/>
  <c r="AS44" i="12"/>
  <c r="AU43" i="12"/>
  <c r="AP40" i="12"/>
  <c r="AT42" i="12"/>
  <c r="AJ43" i="12"/>
  <c r="AS45" i="12"/>
  <c r="AJ40" i="12"/>
  <c r="AS42" i="12"/>
  <c r="AU44" i="12"/>
  <c r="AJ42" i="12"/>
  <c r="AU46" i="12"/>
  <c r="AP44" i="12"/>
  <c r="AU41" i="12"/>
  <c r="AP42" i="12"/>
  <c r="AT44" i="12"/>
  <c r="AJ45" i="12"/>
  <c r="AT41" i="12"/>
  <c r="AS41" i="12"/>
  <c r="U6" i="12"/>
  <c r="AJ50" i="12"/>
  <c r="AP50" i="12"/>
  <c r="AS15" i="12"/>
  <c r="AM15" i="12"/>
  <c r="AU15" i="12"/>
  <c r="AT15" i="12"/>
  <c r="AJ15" i="12"/>
  <c r="AR15" i="12"/>
  <c r="AP15" i="12" s="1"/>
  <c r="AL15" i="12"/>
  <c r="AN15" i="12"/>
  <c r="AJ36" i="12"/>
  <c r="AP36" i="12"/>
  <c r="AS36" i="12"/>
  <c r="AU36" i="12"/>
  <c r="AT36" i="12"/>
  <c r="AT35" i="12"/>
  <c r="AP35" i="12"/>
  <c r="AJ35" i="12"/>
  <c r="AU35" i="12"/>
  <c r="AS35" i="12"/>
  <c r="AU34" i="12"/>
  <c r="AJ34" i="12"/>
  <c r="AT34" i="12"/>
  <c r="AS34" i="12"/>
  <c r="AP34" i="12"/>
  <c r="AS21" i="12"/>
  <c r="AR21" i="12"/>
  <c r="AP21" i="12" s="1"/>
  <c r="AL21" i="12"/>
  <c r="AT21" i="12"/>
  <c r="AN21" i="12"/>
  <c r="AM21" i="12"/>
  <c r="AJ21" i="12"/>
  <c r="AU21" i="12"/>
  <c r="AU39" i="12"/>
  <c r="AP39" i="12"/>
  <c r="AJ39" i="12"/>
  <c r="AS39" i="12"/>
  <c r="AT39" i="12"/>
  <c r="AU32" i="12"/>
  <c r="AJ32" i="12"/>
  <c r="AS32" i="12"/>
  <c r="AT32" i="12"/>
  <c r="AP32" i="12"/>
  <c r="AM20" i="12"/>
  <c r="AL20" i="12"/>
  <c r="AS20" i="12"/>
  <c r="AR20" i="12"/>
  <c r="AP20" i="12" s="1"/>
  <c r="AT20" i="12"/>
  <c r="AN20" i="12"/>
  <c r="AJ20" i="12"/>
  <c r="AU20" i="12"/>
  <c r="AR19" i="12"/>
  <c r="AP19" i="12" s="1"/>
  <c r="AL19" i="12"/>
  <c r="AS19" i="12"/>
  <c r="AJ19" i="12"/>
  <c r="AT19" i="12"/>
  <c r="AM19" i="12"/>
  <c r="AN19" i="12"/>
  <c r="AU19" i="12"/>
  <c r="AS13" i="12"/>
  <c r="AU13" i="12"/>
  <c r="AR13" i="12"/>
  <c r="AP13" i="12" s="1"/>
  <c r="AT13" i="12"/>
  <c r="AM13" i="12"/>
  <c r="AL13" i="12"/>
  <c r="AJ13" i="12"/>
  <c r="AN13" i="12"/>
  <c r="AS30" i="12"/>
  <c r="AP30" i="12"/>
  <c r="AT30" i="12"/>
  <c r="AJ30" i="12"/>
  <c r="AU30" i="12"/>
  <c r="AS31" i="12"/>
  <c r="AJ31" i="12"/>
  <c r="AP31" i="12"/>
  <c r="AU31" i="12"/>
  <c r="AT31" i="12"/>
  <c r="AS27" i="12"/>
  <c r="AT27" i="12"/>
  <c r="AP27" i="12"/>
  <c r="AJ27" i="12"/>
  <c r="AU27" i="12"/>
  <c r="AS12" i="12"/>
  <c r="AU12" i="12"/>
  <c r="AJ12" i="12"/>
  <c r="AL12" i="12"/>
  <c r="AT12" i="12"/>
  <c r="AN12" i="12"/>
  <c r="AR12" i="12"/>
  <c r="AP12" i="12" s="1"/>
  <c r="AM12" i="12"/>
  <c r="AS16" i="12"/>
  <c r="AR16" i="12"/>
  <c r="AP16" i="12" s="1"/>
  <c r="AJ16" i="12"/>
  <c r="AN16" i="12"/>
  <c r="AT16" i="12"/>
  <c r="AU16" i="12"/>
  <c r="AL16" i="12"/>
  <c r="AM16" i="12"/>
  <c r="AS18" i="12"/>
  <c r="AL18" i="12"/>
  <c r="AJ18" i="12"/>
  <c r="AU18" i="12"/>
  <c r="AM18" i="12"/>
  <c r="AT18" i="12"/>
  <c r="AR18" i="12"/>
  <c r="AP18" i="12" s="1"/>
  <c r="AN18" i="12"/>
  <c r="AL14" i="12"/>
  <c r="AM14" i="12"/>
  <c r="AS14" i="12"/>
  <c r="AN14" i="12"/>
  <c r="AT14" i="12"/>
  <c r="AJ14" i="12"/>
  <c r="AR14" i="12"/>
  <c r="AP14" i="12" s="1"/>
  <c r="AU14" i="12"/>
  <c r="AU38" i="12"/>
  <c r="AS38" i="12"/>
  <c r="AP38" i="12"/>
  <c r="AJ38" i="12"/>
  <c r="AT38" i="12"/>
  <c r="AR22" i="12"/>
  <c r="AP22" i="12" s="1"/>
  <c r="AT22" i="12"/>
  <c r="AS22" i="12"/>
  <c r="AU22" i="12"/>
  <c r="AJ22" i="12"/>
  <c r="AN22" i="12"/>
  <c r="AL22" i="12"/>
  <c r="AM22" i="12"/>
  <c r="AU37" i="12"/>
  <c r="AS37" i="12"/>
  <c r="AT37" i="12"/>
  <c r="AP37" i="12"/>
  <c r="AJ37" i="12"/>
  <c r="AP28" i="12"/>
  <c r="AS28" i="12"/>
  <c r="AU28" i="12"/>
  <c r="AJ28" i="12"/>
  <c r="AT28" i="12"/>
  <c r="AU33" i="12"/>
  <c r="AS33" i="12"/>
  <c r="AT33" i="12"/>
  <c r="AJ33" i="12"/>
  <c r="AP33" i="12"/>
  <c r="AL17" i="12"/>
  <c r="AJ17" i="12"/>
  <c r="AU17" i="12"/>
  <c r="AR17" i="12"/>
  <c r="AP17" i="12" s="1"/>
  <c r="AM17" i="12"/>
  <c r="AN17" i="12"/>
  <c r="AT17" i="12"/>
  <c r="AS17" i="12"/>
  <c r="AS29" i="12"/>
  <c r="AT29" i="12"/>
  <c r="AP29" i="12"/>
  <c r="AU29" i="12"/>
  <c r="AJ29" i="12"/>
  <c r="AS11" i="12"/>
  <c r="AR11" i="12"/>
  <c r="AP11" i="12" s="1"/>
  <c r="AU11" i="12"/>
  <c r="AM11" i="12"/>
  <c r="AJ11" i="12"/>
  <c r="AL11" i="12"/>
  <c r="AN11" i="12"/>
  <c r="AT11" i="12"/>
  <c r="AX22" i="12" l="1"/>
  <c r="AW22" i="12"/>
  <c r="AY22" i="12"/>
  <c r="AX17" i="12"/>
  <c r="AY17" i="12"/>
  <c r="AW17" i="12"/>
  <c r="AW16" i="12"/>
  <c r="AX16" i="12"/>
  <c r="AY16" i="12"/>
  <c r="AX18" i="12"/>
  <c r="AW18" i="12"/>
  <c r="AY18" i="12"/>
  <c r="AW12" i="12"/>
  <c r="AY12" i="12"/>
  <c r="AX12" i="12"/>
  <c r="AW13" i="12"/>
  <c r="AY13" i="12"/>
  <c r="AX13" i="12"/>
  <c r="AW11" i="12"/>
  <c r="AX11" i="12"/>
  <c r="AY11" i="12"/>
  <c r="AW19" i="12"/>
  <c r="AX19" i="12"/>
  <c r="AY19" i="12"/>
  <c r="AX20" i="12"/>
  <c r="AY20" i="12"/>
  <c r="AW20" i="12"/>
  <c r="AW21" i="12"/>
  <c r="AX21" i="12"/>
  <c r="AY21" i="12"/>
  <c r="AY15" i="12"/>
  <c r="AX15" i="12"/>
  <c r="AW15" i="12"/>
  <c r="AY14" i="12"/>
  <c r="AW14" i="12"/>
  <c r="AX1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Henrik K Søndergaard</author>
    <author>HKS Consult</author>
    <author>Soendergaard, Henrik Knudsen (E W OF COE TPM)</author>
    <author>HKS-Consult</author>
  </authors>
  <commentList>
    <comment ref="BH2" authorId="0" shapeId="0" xr:uid="{53A07A90-D03F-4D78-9F3E-145553495794}">
      <text>
        <r>
          <rPr>
            <b/>
            <sz val="9"/>
            <color indexed="81"/>
            <rFont val="Tahoma"/>
            <family val="2"/>
          </rPr>
          <t>Henrik K Søndergaard:</t>
        </r>
        <r>
          <rPr>
            <sz val="9"/>
            <color indexed="81"/>
            <rFont val="Tahoma"/>
            <family val="2"/>
          </rPr>
          <t xml:space="preserve">
Found in the Steen's handbook p125.
Also used in the Futura program.</t>
        </r>
      </text>
    </comment>
    <comment ref="BK2" authorId="0" shapeId="0" xr:uid="{3715BD34-E3F3-4F46-9E6D-6C607B5AE89C}">
      <text>
        <r>
          <rPr>
            <b/>
            <sz val="9"/>
            <color indexed="81"/>
            <rFont val="Tahoma"/>
            <family val="2"/>
          </rPr>
          <t>Henrik K Søndergaard:</t>
        </r>
        <r>
          <rPr>
            <sz val="9"/>
            <color indexed="81"/>
            <rFont val="Tahoma"/>
            <family val="2"/>
          </rPr>
          <t xml:space="preserve">
Found in the Steen's handbook p125.
Also used in the Futura program.</t>
        </r>
      </text>
    </comment>
    <comment ref="J10" authorId="1" shapeId="0" xr:uid="{00000000-0006-0000-0100-000002000000}">
      <text>
        <r>
          <rPr>
            <b/>
            <sz val="9"/>
            <color indexed="81"/>
            <rFont val="Tahoma"/>
            <family val="2"/>
          </rPr>
          <t>HKS Consult:</t>
        </r>
        <r>
          <rPr>
            <sz val="9"/>
            <color indexed="81"/>
            <rFont val="Tahoma"/>
            <family val="2"/>
          </rPr>
          <t xml:space="preserve">
To be used after some training in the method.
IF an element is not critical at all then Criticality=0% and the uncertainty is set = 0 but the Mean value still be added to the total Mean
IF an element if fully contributing to uncertainty the set value = 100%</t>
        </r>
      </text>
    </comment>
    <comment ref="K10" authorId="2" shapeId="0" xr:uid="{00000000-0006-0000-0100-000003000000}">
      <text>
        <r>
          <rPr>
            <b/>
            <sz val="9"/>
            <color indexed="81"/>
            <rFont val="Tahoma"/>
            <family val="2"/>
          </rPr>
          <t>HKS Consult:</t>
        </r>
        <r>
          <rPr>
            <sz val="9"/>
            <color indexed="81"/>
            <rFont val="Tahoma"/>
            <family val="2"/>
          </rPr>
          <t xml:space="preserve">
Variance = Std^2</t>
        </r>
      </text>
    </comment>
    <comment ref="T10" authorId="1" shapeId="0" xr:uid="{00000000-0006-0000-0100-000004000000}">
      <text>
        <r>
          <rPr>
            <b/>
            <sz val="9"/>
            <color indexed="81"/>
            <rFont val="Tahoma"/>
            <family val="2"/>
          </rPr>
          <t>HKS Consult:</t>
        </r>
        <r>
          <rPr>
            <sz val="9"/>
            <color indexed="81"/>
            <rFont val="Tahoma"/>
            <family val="2"/>
          </rPr>
          <t xml:space="preserve">
To make RANK work an small 1E-6 factor to No. Is added. This make Rank work, even if there is more than 1 with value 0(zero)</t>
        </r>
      </text>
    </comment>
    <comment ref="I23" authorId="0" shapeId="0" xr:uid="{25C39D2C-46E9-4A28-8C89-8E289266AA64}">
      <text>
        <r>
          <rPr>
            <b/>
            <sz val="9"/>
            <color indexed="81"/>
            <rFont val="Tahoma"/>
            <family val="2"/>
          </rPr>
          <t>Henrik K Søndergaard:</t>
        </r>
        <r>
          <rPr>
            <sz val="9"/>
            <color indexed="81"/>
            <rFont val="Tahoma"/>
            <family val="2"/>
          </rPr>
          <t xml:space="preserve">
The Transformation Factor</t>
        </r>
      </text>
    </comment>
    <comment ref="K48" authorId="3" shapeId="0" xr:uid="{00000000-0006-0000-0100-000006000000}">
      <text>
        <r>
          <rPr>
            <b/>
            <sz val="9"/>
            <color indexed="81"/>
            <rFont val="Tahoma"/>
            <family val="2"/>
          </rPr>
          <t>HKS-Consult:</t>
        </r>
        <r>
          <rPr>
            <sz val="9"/>
            <color indexed="81"/>
            <rFont val="Tahoma"/>
            <family val="2"/>
          </rPr>
          <t xml:space="preserve">
Note special approach for Numbers * Costs</t>
        </r>
      </text>
    </comment>
    <comment ref="J59" authorId="0" shapeId="0" xr:uid="{67B7E383-0AC8-46C4-9D14-9F3E4CB60D04}">
      <text>
        <r>
          <rPr>
            <b/>
            <sz val="9"/>
            <color indexed="81"/>
            <rFont val="Tahoma"/>
            <family val="2"/>
          </rPr>
          <t>Henrik K Søndergaard:</t>
        </r>
        <r>
          <rPr>
            <sz val="9"/>
            <color indexed="81"/>
            <rFont val="Tahoma"/>
            <family val="2"/>
          </rPr>
          <t xml:space="preserve">
Include =0, as a Post can contribute even in the Mean=0</t>
        </r>
      </text>
    </comment>
    <comment ref="J63" authorId="0" shapeId="0" xr:uid="{AA2C2C7D-62E8-4AB3-9A64-AE7C6A1852E3}">
      <text>
        <r>
          <rPr>
            <b/>
            <sz val="9"/>
            <color indexed="81"/>
            <rFont val="Tahoma"/>
            <family val="2"/>
          </rPr>
          <t>Henrik K Søndergaard:</t>
        </r>
        <r>
          <rPr>
            <sz val="9"/>
            <color indexed="81"/>
            <rFont val="Tahoma"/>
            <family val="2"/>
          </rPr>
          <t xml:space="preserve">
Include =0, as a Post can contribute even in the Mean=0</t>
        </r>
      </text>
    </comment>
    <comment ref="T83" authorId="1" shapeId="0" xr:uid="{00000000-0006-0000-0100-000007000000}">
      <text>
        <r>
          <rPr>
            <b/>
            <sz val="9"/>
            <color indexed="81"/>
            <rFont val="Tahoma"/>
            <family val="2"/>
          </rPr>
          <t>HKS Consult:</t>
        </r>
        <r>
          <rPr>
            <sz val="9"/>
            <color indexed="81"/>
            <rFont val="Tahoma"/>
            <family val="2"/>
          </rPr>
          <t xml:space="preserve">
To make RANK work an small 1E-6 factor to No. Is added. This make Rank work, even if there is more than 1 with value 0(zero)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Henrik K Søndergaard</author>
  </authors>
  <commentList>
    <comment ref="T2" authorId="0" shapeId="0" xr:uid="{D4154121-AC4C-4535-B748-1D2B3FE02598}">
      <text>
        <r>
          <rPr>
            <b/>
            <sz val="9"/>
            <color indexed="81"/>
            <rFont val="Tahoma"/>
            <family val="2"/>
          </rPr>
          <t>Henrik K Søndergaard:</t>
        </r>
        <r>
          <rPr>
            <sz val="9"/>
            <color indexed="81"/>
            <rFont val="Tahoma"/>
            <family val="2"/>
          </rPr>
          <t xml:space="preserve">
In particular, when/if new elements are added.</t>
        </r>
      </text>
    </comment>
    <comment ref="T3" authorId="0" shapeId="0" xr:uid="{D8599CBD-3916-4E44-AC82-18AA49A5F2ED}">
      <text>
        <r>
          <rPr>
            <b/>
            <sz val="9"/>
            <color indexed="81"/>
            <rFont val="Tahoma"/>
            <family val="2"/>
          </rPr>
          <t>Henrik K Søndergaard:</t>
        </r>
        <r>
          <rPr>
            <sz val="9"/>
            <color indexed="81"/>
            <rFont val="Tahoma"/>
            <family val="2"/>
          </rPr>
          <t xml:space="preserve">
Min, Max and ML of Posts</t>
        </r>
      </text>
    </comment>
  </commentList>
</comments>
</file>

<file path=xl/sharedStrings.xml><?xml version="1.0" encoding="utf-8"?>
<sst xmlns="http://schemas.openxmlformats.org/spreadsheetml/2006/main" count="331" uniqueCount="239">
  <si>
    <t>Min</t>
  </si>
  <si>
    <t>Max</t>
  </si>
  <si>
    <t>Mean</t>
  </si>
  <si>
    <t>S(0)</t>
  </si>
  <si>
    <t>P %</t>
  </si>
  <si>
    <t>M.L.: Most Likely</t>
  </si>
  <si>
    <t>Check</t>
  </si>
  <si>
    <t>S-min</t>
  </si>
  <si>
    <t>dS</t>
  </si>
  <si>
    <t>"GrandTotal_StDev"</t>
  </si>
  <si>
    <t>"+NORMFORDELING(x;middelværdi;standardafv,kumulativ)</t>
  </si>
  <si>
    <t>X2</t>
  </si>
  <si>
    <t>Y2</t>
  </si>
  <si>
    <t>X3</t>
  </si>
  <si>
    <t>Y3</t>
  </si>
  <si>
    <t>Procentuel afvigelse</t>
  </si>
  <si>
    <t>X-Serie1</t>
  </si>
  <si>
    <t>Y-Serie1</t>
  </si>
  <si>
    <t>P: Priority = the variance</t>
  </si>
  <si>
    <t>C.I.: Confidence Interval</t>
  </si>
  <si>
    <t>Notes.</t>
  </si>
  <si>
    <t>Notes: (Choosing No. Std. = 2.5)</t>
  </si>
  <si>
    <t>That is: With 1% probability the tasks can be finished with less than 'Min' and with 98,8% probability they will not exceed 'Max'.</t>
  </si>
  <si>
    <t>One can choose a robust budget figure, by using Mean + 1* Standard deviation, which leads to approx. 82% probability. See diagram sheet.</t>
  </si>
  <si>
    <t>Search probability</t>
  </si>
  <si>
    <t>X5</t>
  </si>
  <si>
    <t>Y5</t>
  </si>
  <si>
    <t>For no of standard deviation according to robust budget</t>
  </si>
  <si>
    <t>Confidence interval</t>
  </si>
  <si>
    <t>Seak Nul point</t>
  </si>
  <si>
    <t>*Stdev</t>
  </si>
  <si>
    <t>Abbreviations:</t>
  </si>
  <si>
    <t>P %: The Percentage P contributes to the total uncertainty</t>
  </si>
  <si>
    <t>www.lichtenberg.org</t>
  </si>
  <si>
    <t>DeltaId:</t>
  </si>
  <si>
    <t>Sorting out the Top Ten contributions to Uncertainty</t>
  </si>
  <si>
    <t>No.</t>
  </si>
  <si>
    <t>Value</t>
  </si>
  <si>
    <t>Rank</t>
  </si>
  <si>
    <t>Type</t>
  </si>
  <si>
    <t>Text</t>
  </si>
  <si>
    <t>Found</t>
  </si>
  <si>
    <t>Better</t>
  </si>
  <si>
    <t>Worse</t>
  </si>
  <si>
    <t>Var</t>
  </si>
  <si>
    <t>Budget</t>
  </si>
  <si>
    <t>Local No.</t>
  </si>
  <si>
    <t>Original</t>
  </si>
  <si>
    <t>no*Delta</t>
  </si>
  <si>
    <t>Criticality</t>
  </si>
  <si>
    <t>Total</t>
  </si>
  <si>
    <t>Ref.</t>
  </si>
  <si>
    <t>A</t>
  </si>
  <si>
    <t>B</t>
  </si>
  <si>
    <t>C</t>
  </si>
  <si>
    <t>S(%)</t>
  </si>
  <si>
    <t>https://www.youtube.com/watch?v=lVvQOdPr97E</t>
  </si>
  <si>
    <t>ETC</t>
  </si>
  <si>
    <t>ETC %</t>
  </si>
  <si>
    <t>xx,x%</t>
  </si>
  <si>
    <t>S(T)</t>
  </si>
  <si>
    <t>SumInput</t>
  </si>
  <si>
    <t>Min.</t>
  </si>
  <si>
    <t>Project name:</t>
  </si>
  <si>
    <t>X6</t>
  </si>
  <si>
    <t>Y6</t>
  </si>
  <si>
    <t>X7</t>
  </si>
  <si>
    <t>Y7</t>
  </si>
  <si>
    <t>P(50)</t>
  </si>
  <si>
    <t>Diagram text box:</t>
  </si>
  <si>
    <t>Tornado Diagram Data</t>
  </si>
  <si>
    <t>% estimated Min/ML/Max</t>
  </si>
  <si>
    <t>% Share</t>
  </si>
  <si>
    <t>Un-sorted</t>
  </si>
  <si>
    <t>FINDING VALUES</t>
  </si>
  <si>
    <t>Sorted</t>
  </si>
  <si>
    <t>Hide</t>
  </si>
  <si>
    <t>(P85-P50)/P50</t>
  </si>
  <si>
    <t>Usikkerhed=</t>
  </si>
  <si>
    <t>Analysis Group</t>
  </si>
  <si>
    <t>HandP125</t>
  </si>
  <si>
    <t>1:100</t>
  </si>
  <si>
    <t>Divisor A</t>
  </si>
  <si>
    <t>Divisor B</t>
  </si>
  <si>
    <t>PLOT OF 3PE DATA</t>
  </si>
  <si>
    <t>&lt;&gt;</t>
  </si>
  <si>
    <t>Plot data</t>
  </si>
  <si>
    <t>1: Include, 0: Show OF's</t>
  </si>
  <si>
    <t>For controlling plot sequence</t>
  </si>
  <si>
    <t>Plot of Min, M.L. Max and Mean</t>
  </si>
  <si>
    <t>RefNo.</t>
  </si>
  <si>
    <t>M.L.</t>
  </si>
  <si>
    <t>Std</t>
  </si>
  <si>
    <t>TF</t>
  </si>
  <si>
    <t>x1</t>
  </si>
  <si>
    <t>x2</t>
  </si>
  <si>
    <t>y1</t>
  </si>
  <si>
    <t>y2</t>
  </si>
  <si>
    <t>x3</t>
  </si>
  <si>
    <t>y3</t>
  </si>
  <si>
    <t>Serie No.</t>
  </si>
  <si>
    <t>Plot</t>
  </si>
  <si>
    <t>Costs:</t>
  </si>
  <si>
    <t>Income:</t>
  </si>
  <si>
    <t>Plot of Min, Mean and Max</t>
  </si>
  <si>
    <t>Co/In</t>
  </si>
  <si>
    <t>dTF+</t>
  </si>
  <si>
    <t>dTF-</t>
  </si>
  <si>
    <t>Show?</t>
  </si>
  <si>
    <t>Mean(OF)</t>
  </si>
  <si>
    <t>Min(OF)</t>
  </si>
  <si>
    <t>M.L.(OF)</t>
  </si>
  <si>
    <t>Max(OF)</t>
  </si>
  <si>
    <t>Mean values</t>
  </si>
  <si>
    <t>dTF+(M)</t>
  </si>
  <si>
    <t>dTF-(M)</t>
  </si>
  <si>
    <t>Diagram Text</t>
  </si>
  <si>
    <t>Incl.</t>
  </si>
  <si>
    <t>Positive side</t>
  </si>
  <si>
    <t>Negative side</t>
  </si>
  <si>
    <t>OF's</t>
  </si>
  <si>
    <t>Posts</t>
  </si>
  <si>
    <t>Factor</t>
  </si>
  <si>
    <t>The OF contribution.</t>
  </si>
  <si>
    <t>Opg.</t>
  </si>
  <si>
    <t>G.U.</t>
  </si>
  <si>
    <t>Include GU:</t>
  </si>
  <si>
    <t>SUCCESSIVE PRINCIPLE: ROBUST BUDGETS &amp; PLANS - That keeps</t>
  </si>
  <si>
    <t>SUCCESSIVE PRINCIPLE: ROBUST BUDGETS &amp; PLANS - that keeps!</t>
  </si>
  <si>
    <t>Identification of Risks &amp; Opportunities</t>
  </si>
  <si>
    <t>Analyse Uncertainty=</t>
  </si>
  <si>
    <t>Enter values/text in the light green cells.</t>
  </si>
  <si>
    <t>Limits</t>
  </si>
  <si>
    <t>Code</t>
  </si>
  <si>
    <t>General Uncertainties</t>
  </si>
  <si>
    <t>Notes</t>
  </si>
  <si>
    <t>How can these influence, who long time the tasks are executed?</t>
  </si>
  <si>
    <t>Skewness</t>
  </si>
  <si>
    <t>Z</t>
  </si>
  <si>
    <t>Unit - Tasks</t>
  </si>
  <si>
    <t>Tasks</t>
  </si>
  <si>
    <t>Think of a previous project. How many Unknown Unknowns task came later?</t>
  </si>
  <si>
    <t>Think of a previous project. How many hours per task?</t>
  </si>
  <si>
    <t>Number of Unknowns UnKnowns: Tasks</t>
  </si>
  <si>
    <t>Value per Unknowns Unknown</t>
  </si>
  <si>
    <t>Unk Unks Group 1</t>
  </si>
  <si>
    <t>Relative values</t>
  </si>
  <si>
    <t>Total Mean excl. GU's</t>
  </si>
  <si>
    <t>MAIN RESULTS</t>
  </si>
  <si>
    <t>P(GU's):</t>
  </si>
  <si>
    <t>Mean - 2,5*S</t>
  </si>
  <si>
    <t>Assumed BUDGET:</t>
  </si>
  <si>
    <t>Uncertainty in the analyse U(P(xx))=</t>
  </si>
  <si>
    <t>TASK BUDGET</t>
  </si>
  <si>
    <t>Here alle element contributing are listed:</t>
  </si>
  <si>
    <t>Assumed</t>
  </si>
  <si>
    <r>
      <rPr>
        <b/>
        <sz val="12"/>
        <rFont val="Garamond"/>
        <family val="1"/>
      </rPr>
      <t>Mean:</t>
    </r>
    <r>
      <rPr>
        <sz val="12"/>
        <rFont val="Garamond"/>
        <family val="1"/>
      </rPr>
      <t xml:space="preserve"> The target for the project group</t>
    </r>
  </si>
  <si>
    <r>
      <rPr>
        <b/>
        <sz val="12"/>
        <rFont val="Garamond"/>
        <family val="1"/>
      </rPr>
      <t>Budget:</t>
    </r>
    <r>
      <rPr>
        <sz val="12"/>
        <rFont val="Garamond"/>
        <family val="1"/>
      </rPr>
      <t xml:space="preserve"> The allocated budget, front loading the budget</t>
    </r>
  </si>
  <si>
    <t>Negative</t>
  </si>
  <si>
    <t>Positive</t>
  </si>
  <si>
    <t>For PlotData</t>
  </si>
  <si>
    <t>Not actual</t>
  </si>
  <si>
    <t>Description of the tasks, composition of the analysis group, number of participants, facilitator experiences and other aspects</t>
  </si>
  <si>
    <t>GU</t>
  </si>
  <si>
    <t>compilot.dk</t>
  </si>
  <si>
    <r>
      <t>Author: mail</t>
    </r>
    <r>
      <rPr>
        <sz val="11"/>
        <rFont val="Arial"/>
        <family val="2"/>
      </rPr>
      <t>@compilot.dk</t>
    </r>
  </si>
  <si>
    <t>Author: COMPILOT.dk</t>
  </si>
  <si>
    <t>Rev. 2024-01-17a</t>
  </si>
  <si>
    <r>
      <rPr>
        <b/>
        <sz val="12"/>
        <rFont val="Garamond"/>
        <family val="1"/>
      </rPr>
      <t>CONTACT</t>
    </r>
    <r>
      <rPr>
        <sz val="12"/>
        <rFont val="Garamond"/>
        <family val="1"/>
      </rPr>
      <t xml:space="preserve"> COMPILOT.dk for free support.</t>
    </r>
  </si>
  <si>
    <t>UNCERTAINTY ANALYSIS:</t>
  </si>
  <si>
    <t>Construction - Scoping phase</t>
  </si>
  <si>
    <t>D</t>
  </si>
  <si>
    <t>E</t>
  </si>
  <si>
    <t>F</t>
  </si>
  <si>
    <t>G</t>
  </si>
  <si>
    <t>H</t>
  </si>
  <si>
    <t>I</t>
  </si>
  <si>
    <t>J</t>
  </si>
  <si>
    <t>K</t>
  </si>
  <si>
    <t>TV, FB, LinkedIn, X, radio</t>
  </si>
  <si>
    <t>Choice of contract form, etc.</t>
  </si>
  <si>
    <t>Legal, business and physical</t>
  </si>
  <si>
    <t>For all partners involved.</t>
  </si>
  <si>
    <t>Number of people and maturity.</t>
  </si>
  <si>
    <t>This is a simple model, which shows the principles of the method.</t>
  </si>
  <si>
    <t>New principles need to be designed.</t>
  </si>
  <si>
    <t>The décor is not in place.</t>
  </si>
  <si>
    <t>One % rate of contracts (mean).</t>
  </si>
  <si>
    <t>One % rate of all costs (mean).</t>
  </si>
  <si>
    <t>Everything else</t>
  </si>
  <si>
    <t>Other</t>
  </si>
  <si>
    <t>Financing</t>
  </si>
  <si>
    <t>Insurances</t>
  </si>
  <si>
    <t>Demolition</t>
  </si>
  <si>
    <t>Building site</t>
  </si>
  <si>
    <t>Raw house</t>
  </si>
  <si>
    <t>Closing facades</t>
  </si>
  <si>
    <t>Installations</t>
  </si>
  <si>
    <t>Landscape</t>
  </si>
  <si>
    <t>Counselling</t>
  </si>
  <si>
    <t>Construction management</t>
  </si>
  <si>
    <t>Supervision</t>
  </si>
  <si>
    <t>Land purchase</t>
  </si>
  <si>
    <t>Geotechnical investigation</t>
  </si>
  <si>
    <t>Internal roads</t>
  </si>
  <si>
    <t>Terrain regulation</t>
  </si>
  <si>
    <t>Securing the outer rim</t>
  </si>
  <si>
    <t>Building permit</t>
  </si>
  <si>
    <t>Projecting</t>
  </si>
  <si>
    <t>Contracting strategy</t>
  </si>
  <si>
    <t>Interfaces</t>
  </si>
  <si>
    <t>Compet. &amp; Experience level</t>
  </si>
  <si>
    <t>The Builders Org.</t>
  </si>
  <si>
    <t>Project Org.</t>
  </si>
  <si>
    <t>External conditions</t>
  </si>
  <si>
    <t>Construction market index</t>
  </si>
  <si>
    <t>Req. &amp; quality control</t>
  </si>
  <si>
    <t>Media</t>
  </si>
  <si>
    <t>Analysis quality</t>
  </si>
  <si>
    <t>Boom</t>
  </si>
  <si>
    <t xml:space="preserve">Throughout the project.
</t>
  </si>
  <si>
    <t>The decision-makers, supporters and opponents. Political agenda.</t>
  </si>
  <si>
    <t>Where to build</t>
  </si>
  <si>
    <t>Political issues</t>
  </si>
  <si>
    <t>Geographic index</t>
  </si>
  <si>
    <t>Accommodation</t>
  </si>
  <si>
    <t>Sum of tasks</t>
  </si>
  <si>
    <t>Min, M.L. and Max values includes TF.</t>
  </si>
  <si>
    <t>Mean + 2,5*S</t>
  </si>
  <si>
    <t>of Mean</t>
  </si>
  <si>
    <t>Budget factor</t>
  </si>
  <si>
    <t>Extra Budget set in the P-Curve:</t>
  </si>
  <si>
    <t>Factor A</t>
  </si>
  <si>
    <t>Save</t>
  </si>
  <si>
    <t>Consume</t>
  </si>
  <si>
    <t>Index</t>
  </si>
  <si>
    <t>For alle involved partners.</t>
  </si>
  <si>
    <t>The physical environment /surroundings</t>
  </si>
  <si>
    <t>Main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</si>
</sst>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
    <numFmt numFmtId="166" formatCode="0.000"/>
    <numFmt numFmtId="167" formatCode="0.0000"/>
    <numFmt numFmtId="168" formatCode="0.000000"/>
    <numFmt numFmtId="169" formatCode="0.0%"/>
    <numFmt numFmtId="170" formatCode="0.000%"/>
    <numFmt numFmtId="171" formatCode="0.0000%"/>
    <numFmt numFmtId="172" formatCode="#,##0.0_ ;[Red]\-#,##0.0\ "/>
    <numFmt numFmtId="173" formatCode="#,##0_ ;[Red]\-#,##0\ "/>
  </numFmts>
  <fonts count="77">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u/>
      <sz val="10"/>
      <color indexed="12"/>
      <name val="Arial"/>
      <family val="2"/>
    </font>
    <font>
      <sz val="12"/>
      <name val="Garamond"/>
      <family val="1"/>
    </font>
    <font>
      <b/>
      <sz val="12"/>
      <name val="Garamond"/>
      <family val="1"/>
    </font>
    <font>
      <b/>
      <sz val="18"/>
      <name val="Arial"/>
      <family val="2"/>
    </font>
    <font>
      <b/>
      <sz val="12"/>
      <color indexed="17"/>
      <name val="Garamond"/>
      <family val="1"/>
    </font>
    <font>
      <b/>
      <sz val="12"/>
      <color indexed="10"/>
      <name val="Garamond"/>
      <family val="1"/>
    </font>
    <font>
      <b/>
      <sz val="12"/>
      <color indexed="12"/>
      <name val="Garamond"/>
      <family val="1"/>
    </font>
    <font>
      <b/>
      <sz val="12"/>
      <color indexed="20"/>
      <name val="Garamond"/>
      <family val="1"/>
    </font>
    <font>
      <sz val="12"/>
      <name val="Arial"/>
      <family val="2"/>
    </font>
    <font>
      <sz val="16"/>
      <name val="Arial"/>
      <family val="2"/>
    </font>
    <font>
      <sz val="10"/>
      <name val="Garamond"/>
      <family val="1"/>
    </font>
    <font>
      <b/>
      <sz val="12"/>
      <name val="Arial"/>
      <family val="2"/>
    </font>
    <font>
      <sz val="16"/>
      <name val="Arial"/>
      <family val="2"/>
    </font>
    <font>
      <b/>
      <sz val="14"/>
      <name val="Garamond"/>
      <family val="1"/>
    </font>
    <font>
      <b/>
      <sz val="16"/>
      <name val="Arial"/>
      <family val="2"/>
    </font>
    <font>
      <b/>
      <sz val="10"/>
      <name val="Arial"/>
      <family val="2"/>
    </font>
    <font>
      <sz val="10"/>
      <color indexed="8"/>
      <name val="Arial"/>
      <family val="2"/>
    </font>
    <font>
      <sz val="10"/>
      <color indexed="26"/>
      <name val="Arial"/>
      <family val="2"/>
    </font>
    <font>
      <b/>
      <sz val="13"/>
      <color theme="1"/>
      <name val="Calibri"/>
      <family val="2"/>
      <scheme val="minor"/>
    </font>
    <font>
      <b/>
      <sz val="9"/>
      <color indexed="81"/>
      <name val="Tahoma"/>
      <family val="2"/>
    </font>
    <font>
      <sz val="9"/>
      <color indexed="81"/>
      <name val="Tahoma"/>
      <family val="2"/>
    </font>
    <font>
      <b/>
      <sz val="13"/>
      <name val="Garamond"/>
      <family val="1"/>
    </font>
    <font>
      <sz val="10"/>
      <color theme="0" tint="-0.24994659260841701"/>
      <name val="Arial"/>
      <family val="2"/>
    </font>
    <font>
      <b/>
      <sz val="10"/>
      <color theme="0" tint="-0.24994659260841701"/>
      <name val="Arial"/>
      <family val="2"/>
    </font>
    <font>
      <u/>
      <sz val="12"/>
      <color indexed="12"/>
      <name val="Arial"/>
      <family val="2"/>
    </font>
    <font>
      <b/>
      <sz val="10"/>
      <color rgb="FFFF0000"/>
      <name val="Arial"/>
      <family val="2"/>
    </font>
    <font>
      <sz val="15"/>
      <color rgb="FF000000"/>
      <name val="Calibri"/>
      <family val="2"/>
    </font>
    <font>
      <sz val="15"/>
      <color rgb="FF000000"/>
      <name val="+mn-ea"/>
    </font>
    <font>
      <sz val="9"/>
      <color theme="1"/>
      <name val="Garamond"/>
      <family val="1"/>
    </font>
    <font>
      <b/>
      <sz val="9"/>
      <color theme="1"/>
      <name val="Garamond"/>
      <family val="1"/>
    </font>
    <font>
      <sz val="12"/>
      <color theme="1"/>
      <name val="Garamond"/>
      <family val="1"/>
    </font>
    <font>
      <b/>
      <sz val="12"/>
      <color theme="1"/>
      <name val="Garamond"/>
      <family val="1"/>
    </font>
    <font>
      <b/>
      <sz val="11"/>
      <name val="Arial"/>
      <family val="2"/>
    </font>
    <font>
      <b/>
      <sz val="12"/>
      <color theme="1"/>
      <name val="Arial"/>
      <family val="2"/>
    </font>
    <font>
      <sz val="11"/>
      <name val="Garamond"/>
      <family val="1"/>
    </font>
    <font>
      <b/>
      <sz val="12"/>
      <color theme="0"/>
      <name val="Garamond"/>
      <family val="1"/>
    </font>
    <font>
      <b/>
      <sz val="12"/>
      <color rgb="FF339966"/>
      <name val="Garamond"/>
      <family val="1"/>
    </font>
    <font>
      <sz val="12"/>
      <color rgb="FFFF0000"/>
      <name val="Garamond"/>
      <family val="1"/>
    </font>
    <font>
      <i/>
      <sz val="10"/>
      <name val="Arial"/>
      <family val="2"/>
    </font>
    <font>
      <b/>
      <i/>
      <sz val="10"/>
      <name val="Arial"/>
      <family val="2"/>
    </font>
    <font>
      <sz val="11"/>
      <name val="Arial"/>
      <family val="2"/>
    </font>
    <font>
      <sz val="11"/>
      <color theme="1"/>
      <name val="Arial"/>
      <family val="2"/>
    </font>
    <font>
      <b/>
      <sz val="11"/>
      <color theme="1"/>
      <name val="Arial"/>
      <family val="2"/>
    </font>
    <font>
      <b/>
      <sz val="11"/>
      <color theme="1"/>
      <name val="Garamond"/>
      <family val="1"/>
    </font>
    <font>
      <b/>
      <sz val="11"/>
      <color indexed="12"/>
      <name val="Garamond"/>
      <family val="1"/>
    </font>
    <font>
      <i/>
      <sz val="16"/>
      <name val="Arial"/>
      <family val="2"/>
    </font>
    <font>
      <sz val="12"/>
      <color theme="1"/>
      <name val="Arial"/>
      <family val="2"/>
    </font>
    <font>
      <b/>
      <sz val="11"/>
      <color rgb="FFC00000"/>
      <name val="Arial"/>
      <family val="2"/>
    </font>
    <font>
      <b/>
      <sz val="11"/>
      <color rgb="FF006600"/>
      <name val="Arial"/>
      <family val="2"/>
    </font>
    <font>
      <b/>
      <sz val="11"/>
      <color rgb="FF0000FF"/>
      <name val="Arial"/>
      <family val="2"/>
    </font>
    <font>
      <b/>
      <sz val="12"/>
      <color theme="0"/>
      <name val="Arial"/>
      <family val="2"/>
    </font>
    <font>
      <sz val="11"/>
      <color theme="1"/>
      <name val="Garamond"/>
      <family val="1"/>
    </font>
    <font>
      <sz val="9"/>
      <color theme="1"/>
      <name val="Calibri"/>
      <family val="2"/>
      <scheme val="minor"/>
    </font>
    <font>
      <sz val="9"/>
      <name val="Arial"/>
      <family val="2"/>
    </font>
    <font>
      <b/>
      <sz val="10"/>
      <color theme="1"/>
      <name val="Calibri"/>
      <family val="2"/>
      <scheme val="minor"/>
    </font>
    <font>
      <sz val="8"/>
      <name val="Arial"/>
      <family val="2"/>
    </font>
    <font>
      <sz val="10"/>
      <color theme="1"/>
      <name val="Calibri"/>
      <family val="2"/>
      <scheme val="minor"/>
    </font>
    <font>
      <b/>
      <sz val="12"/>
      <color rgb="FF004C79"/>
      <name val="Garamond"/>
      <family val="1"/>
    </font>
    <font>
      <b/>
      <sz val="12"/>
      <color rgb="FFCC5F50"/>
      <name val="Garamond"/>
      <family val="1"/>
    </font>
    <font>
      <b/>
      <sz val="11"/>
      <color theme="1"/>
      <name val="Calibri"/>
      <family val="2"/>
      <scheme val="minor"/>
    </font>
    <font>
      <b/>
      <sz val="12"/>
      <color rgb="FFFF0000"/>
      <name val="Garamond"/>
      <family val="1"/>
    </font>
    <font>
      <b/>
      <sz val="9"/>
      <color theme="1"/>
      <name val="Calibri"/>
      <family val="2"/>
      <scheme val="minor"/>
    </font>
    <font>
      <b/>
      <sz val="11"/>
      <color theme="9" tint="-0.249977111117893"/>
      <name val="Calibri"/>
      <family val="2"/>
      <scheme val="minor"/>
    </font>
    <font>
      <b/>
      <sz val="11"/>
      <color rgb="FFFF0000"/>
      <name val="Calibri"/>
      <family val="2"/>
      <scheme val="minor"/>
    </font>
    <font>
      <b/>
      <sz val="9"/>
      <color rgb="FF0000FF"/>
      <name val="Garamond"/>
      <family val="1"/>
    </font>
    <font>
      <sz val="10"/>
      <color rgb="FFFF0000"/>
      <name val="Arial"/>
      <family val="2"/>
    </font>
    <font>
      <b/>
      <sz val="12"/>
      <color rgb="FF249074"/>
      <name val="Garamond"/>
      <family val="1"/>
    </font>
    <font>
      <sz val="12"/>
      <color theme="0" tint="-0.14999847407452621"/>
      <name val="Garamond"/>
      <family val="1"/>
    </font>
    <font>
      <sz val="10"/>
      <color theme="0" tint="-0.249977111117893"/>
      <name val="Arial"/>
      <family val="2"/>
    </font>
    <font>
      <b/>
      <sz val="10"/>
      <name val="Garamond"/>
      <family val="1"/>
    </font>
    <font>
      <sz val="12"/>
      <color rgb="FF0000FF"/>
      <name val="Garamond"/>
      <family val="1"/>
    </font>
  </fonts>
  <fills count="31">
    <fill>
      <patternFill patternType="none"/>
    </fill>
    <fill>
      <patternFill patternType="gray125"/>
    </fill>
    <fill>
      <patternFill patternType="solid">
        <fgColor indexed="22"/>
        <bgColor indexed="64"/>
      </patternFill>
    </fill>
    <fill>
      <patternFill patternType="solid">
        <fgColor indexed="15"/>
        <bgColor indexed="64"/>
      </patternFill>
    </fill>
    <fill>
      <patternFill patternType="solid">
        <fgColor indexed="42"/>
        <bgColor indexed="64"/>
      </patternFill>
    </fill>
    <fill>
      <patternFill patternType="solid">
        <fgColor rgb="FFCCFFCC"/>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66FFFF"/>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rgb="FF00FFFF"/>
        <bgColor indexed="64"/>
      </patternFill>
    </fill>
    <fill>
      <patternFill patternType="solid">
        <fgColor theme="0" tint="-0.24994659260841701"/>
        <bgColor indexed="64"/>
      </patternFill>
    </fill>
    <fill>
      <patternFill patternType="solid">
        <fgColor rgb="FF99FFCC"/>
        <bgColor indexed="64"/>
      </patternFill>
    </fill>
    <fill>
      <patternFill patternType="solid">
        <fgColor rgb="FFFF0000"/>
        <bgColor indexed="64"/>
      </patternFill>
    </fill>
    <fill>
      <patternFill patternType="solid">
        <fgColor rgb="FFFFC000"/>
        <bgColor indexed="64"/>
      </patternFill>
    </fill>
    <fill>
      <patternFill patternType="solid">
        <fgColor theme="9" tint="0.59999389629810485"/>
        <bgColor indexed="64"/>
      </patternFill>
    </fill>
    <fill>
      <patternFill patternType="solid">
        <fgColor rgb="FF00B050"/>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70AD47"/>
        <bgColor indexed="64"/>
      </patternFill>
    </fill>
    <fill>
      <patternFill patternType="solid">
        <fgColor theme="4"/>
        <bgColor indexed="64"/>
      </patternFill>
    </fill>
    <fill>
      <patternFill patternType="solid">
        <fgColor rgb="FFCC5F5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E2C5"/>
        <bgColor indexed="64"/>
      </patternFill>
    </fill>
    <fill>
      <patternFill patternType="solid">
        <fgColor rgb="FF66FF99"/>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thin">
        <color indexed="64"/>
      </bottom>
      <diagonal/>
    </border>
    <border>
      <left style="thin">
        <color theme="4" tint="0.39994506668294322"/>
      </left>
      <right style="thin">
        <color theme="4" tint="0.39991454817346722"/>
      </right>
      <top style="thin">
        <color theme="0"/>
      </top>
      <bottom style="thin">
        <color theme="0"/>
      </bottom>
      <diagonal/>
    </border>
    <border>
      <left style="thin">
        <color indexed="64"/>
      </left>
      <right style="thin">
        <color indexed="64"/>
      </right>
      <top/>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bottom style="medium">
        <color indexed="64"/>
      </bottom>
      <diagonal/>
    </border>
    <border>
      <left style="thin">
        <color theme="0"/>
      </left>
      <right/>
      <top style="thin">
        <color theme="0"/>
      </top>
      <bottom style="thin">
        <color theme="0"/>
      </bottom>
      <diagonal/>
    </border>
    <border>
      <left style="thin">
        <color theme="4" tint="0.39994506668294322"/>
      </left>
      <right/>
      <top style="thin">
        <color theme="0"/>
      </top>
      <bottom style="thin">
        <color theme="0"/>
      </bottom>
      <diagonal/>
    </border>
  </borders>
  <cellStyleXfs count="4">
    <xf numFmtId="0" fontId="0" fillId="0" borderId="0"/>
    <xf numFmtId="0" fontId="6" fillId="0" borderId="0" applyNumberFormat="0" applyFill="0" applyBorder="0" applyAlignment="0" applyProtection="0">
      <alignment vertical="top"/>
      <protection locked="0"/>
    </xf>
    <xf numFmtId="0" fontId="3" fillId="0" borderId="0"/>
    <xf numFmtId="0" fontId="2" fillId="0" borderId="0"/>
  </cellStyleXfs>
  <cellXfs count="400">
    <xf numFmtId="0" fontId="0" fillId="0" borderId="0" xfId="0"/>
    <xf numFmtId="0" fontId="7" fillId="0" borderId="0" xfId="0" applyFont="1"/>
    <xf numFmtId="0" fontId="9" fillId="0" borderId="0" xfId="0" applyFont="1"/>
    <xf numFmtId="0" fontId="14" fillId="0" borderId="0" xfId="0" applyFont="1"/>
    <xf numFmtId="0" fontId="15" fillId="0" borderId="0" xfId="0" applyFont="1"/>
    <xf numFmtId="164" fontId="8" fillId="0" borderId="0" xfId="0" applyNumberFormat="1" applyFont="1"/>
    <xf numFmtId="0" fontId="18" fillId="0" borderId="0" xfId="0" applyFont="1"/>
    <xf numFmtId="0" fontId="6" fillId="0" borderId="0" xfId="1" applyAlignment="1" applyProtection="1"/>
    <xf numFmtId="0" fontId="0" fillId="0" borderId="0" xfId="0" applyAlignment="1">
      <alignment horizontal="right"/>
    </xf>
    <xf numFmtId="0" fontId="7" fillId="0" borderId="0" xfId="0" applyFont="1" applyAlignment="1">
      <alignment horizontal="right"/>
    </xf>
    <xf numFmtId="164" fontId="5" fillId="0" borderId="0" xfId="0" applyNumberFormat="1" applyFont="1" applyAlignment="1">
      <alignment horizontal="right"/>
    </xf>
    <xf numFmtId="0" fontId="8" fillId="2" borderId="3" xfId="0" applyFont="1" applyFill="1" applyBorder="1" applyAlignment="1">
      <alignment horizontal="center"/>
    </xf>
    <xf numFmtId="0" fontId="15"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20" fillId="0" borderId="0" xfId="0" applyFont="1"/>
    <xf numFmtId="0" fontId="8" fillId="2" borderId="1" xfId="0" applyFont="1" applyFill="1" applyBorder="1"/>
    <xf numFmtId="0" fontId="0" fillId="0" borderId="0" xfId="0" applyAlignment="1">
      <alignment wrapText="1"/>
    </xf>
    <xf numFmtId="0" fontId="14" fillId="0" borderId="0" xfId="0" applyFont="1" applyAlignment="1">
      <alignment horizontal="right"/>
    </xf>
    <xf numFmtId="0" fontId="14" fillId="0" borderId="0" xfId="0" applyFont="1" applyAlignment="1">
      <alignment wrapText="1"/>
    </xf>
    <xf numFmtId="1" fontId="21" fillId="0" borderId="0" xfId="0" applyNumberFormat="1" applyFont="1"/>
    <xf numFmtId="1" fontId="0" fillId="0" borderId="0" xfId="0" applyNumberFormat="1"/>
    <xf numFmtId="0" fontId="0" fillId="0" borderId="0" xfId="0" applyAlignment="1">
      <alignment vertical="top" wrapText="1"/>
    </xf>
    <xf numFmtId="0" fontId="22" fillId="0" borderId="0" xfId="0" applyFont="1"/>
    <xf numFmtId="0" fontId="8" fillId="0" borderId="5" xfId="0" applyFont="1" applyBorder="1"/>
    <xf numFmtId="0" fontId="23" fillId="0" borderId="0" xfId="0" applyFont="1"/>
    <xf numFmtId="0" fontId="24" fillId="0" borderId="0" xfId="0" applyFont="1" applyAlignment="1" applyProtection="1">
      <alignment horizontal="left" vertical="center"/>
      <protection hidden="1"/>
    </xf>
    <xf numFmtId="0" fontId="9" fillId="5" borderId="0" xfId="0" applyFont="1" applyFill="1"/>
    <xf numFmtId="0" fontId="0" fillId="5" borderId="0" xfId="0" applyFill="1"/>
    <xf numFmtId="0" fontId="16" fillId="0" borderId="0" xfId="0" applyFont="1"/>
    <xf numFmtId="0" fontId="28" fillId="0" borderId="0" xfId="0" applyFont="1"/>
    <xf numFmtId="0" fontId="29" fillId="0" borderId="0" xfId="0" applyFont="1" applyAlignment="1">
      <alignment horizontal="right"/>
    </xf>
    <xf numFmtId="0" fontId="0" fillId="7" borderId="0" xfId="0" applyFill="1"/>
    <xf numFmtId="1" fontId="0" fillId="7" borderId="0" xfId="0" applyNumberFormat="1" applyFill="1"/>
    <xf numFmtId="1" fontId="21" fillId="7" borderId="0" xfId="0" applyNumberFormat="1" applyFont="1" applyFill="1"/>
    <xf numFmtId="0" fontId="0" fillId="7" borderId="0" xfId="0" applyFill="1" applyAlignment="1">
      <alignment horizontal="right"/>
    </xf>
    <xf numFmtId="0" fontId="0" fillId="7" borderId="0" xfId="0" applyFill="1" applyAlignment="1">
      <alignment wrapText="1"/>
    </xf>
    <xf numFmtId="0" fontId="21" fillId="7" borderId="0" xfId="0" applyFont="1" applyFill="1"/>
    <xf numFmtId="164" fontId="7" fillId="4" borderId="3" xfId="0" applyNumberFormat="1" applyFont="1" applyFill="1" applyBorder="1" applyAlignment="1">
      <alignment horizontal="center" vertical="top"/>
    </xf>
    <xf numFmtId="0" fontId="4" fillId="0" borderId="0" xfId="0" applyFont="1" applyAlignment="1">
      <alignment wrapText="1"/>
    </xf>
    <xf numFmtId="0" fontId="4" fillId="0" borderId="0" xfId="0" applyFont="1"/>
    <xf numFmtId="164" fontId="0" fillId="0" borderId="0" xfId="0" applyNumberFormat="1"/>
    <xf numFmtId="165" fontId="0" fillId="0" borderId="0" xfId="0" applyNumberFormat="1"/>
    <xf numFmtId="0" fontId="21" fillId="0" borderId="0" xfId="0" applyFont="1"/>
    <xf numFmtId="0" fontId="7" fillId="4" borderId="3" xfId="0" applyFont="1" applyFill="1" applyBorder="1" applyAlignment="1">
      <alignment vertical="top" wrapText="1"/>
    </xf>
    <xf numFmtId="0" fontId="12" fillId="2" borderId="1" xfId="0" applyFont="1" applyFill="1" applyBorder="1" applyAlignment="1">
      <alignment horizontal="right"/>
    </xf>
    <xf numFmtId="0" fontId="15" fillId="0" borderId="8" xfId="0" applyFont="1" applyBorder="1"/>
    <xf numFmtId="0" fontId="7" fillId="0" borderId="8" xfId="0" applyFont="1" applyBorder="1"/>
    <xf numFmtId="0" fontId="0" fillId="0" borderId="8" xfId="0" applyBorder="1"/>
    <xf numFmtId="0" fontId="0" fillId="0" borderId="8" xfId="0" applyBorder="1" applyAlignment="1">
      <alignment horizontal="right"/>
    </xf>
    <xf numFmtId="0" fontId="0" fillId="0" borderId="8" xfId="0" applyBorder="1" applyAlignment="1">
      <alignment wrapText="1"/>
    </xf>
    <xf numFmtId="1" fontId="21" fillId="0" borderId="8" xfId="0" applyNumberFormat="1" applyFont="1" applyBorder="1"/>
    <xf numFmtId="1" fontId="0" fillId="0" borderId="8" xfId="0" applyNumberFormat="1" applyBorder="1"/>
    <xf numFmtId="0" fontId="8" fillId="0" borderId="8" xfId="0" applyFont="1" applyBorder="1"/>
    <xf numFmtId="0" fontId="14" fillId="0" borderId="8" xfId="0" applyFont="1" applyBorder="1"/>
    <xf numFmtId="0" fontId="19" fillId="0" borderId="8" xfId="0" applyFont="1" applyBorder="1"/>
    <xf numFmtId="0" fontId="14" fillId="0" borderId="8" xfId="0" applyFont="1" applyBorder="1" applyAlignment="1">
      <alignment horizontal="right"/>
    </xf>
    <xf numFmtId="0" fontId="14" fillId="0" borderId="8" xfId="0" applyFont="1" applyBorder="1" applyAlignment="1">
      <alignment wrapText="1"/>
    </xf>
    <xf numFmtId="0" fontId="31" fillId="0" borderId="0" xfId="0" applyFont="1" applyAlignment="1">
      <alignment vertical="center"/>
    </xf>
    <xf numFmtId="0" fontId="20" fillId="0" borderId="8" xfId="0" applyFont="1" applyBorder="1" applyAlignment="1">
      <alignment vertical="center"/>
    </xf>
    <xf numFmtId="0" fontId="14" fillId="5" borderId="0" xfId="0" applyFont="1" applyFill="1"/>
    <xf numFmtId="0" fontId="8" fillId="2" borderId="11" xfId="0" applyFont="1" applyFill="1" applyBorder="1" applyAlignment="1">
      <alignment vertical="center"/>
    </xf>
    <xf numFmtId="164" fontId="34" fillId="8" borderId="12" xfId="2" applyNumberFormat="1" applyFont="1" applyFill="1" applyBorder="1" applyAlignment="1">
      <alignment horizontal="right" vertical="center"/>
    </xf>
    <xf numFmtId="0" fontId="0" fillId="0" borderId="0" xfId="0" applyAlignment="1">
      <alignment vertical="center"/>
    </xf>
    <xf numFmtId="0" fontId="8" fillId="0" borderId="3" xfId="0" applyFont="1" applyBorder="1" applyAlignment="1">
      <alignment vertical="top" wrapText="1"/>
    </xf>
    <xf numFmtId="0" fontId="0" fillId="6" borderId="3" xfId="0" applyFill="1" applyBorder="1" applyAlignment="1">
      <alignment vertical="top" wrapText="1"/>
    </xf>
    <xf numFmtId="164" fontId="34" fillId="8" borderId="3" xfId="2" applyNumberFormat="1" applyFont="1" applyFill="1" applyBorder="1" applyAlignment="1">
      <alignment horizontal="center" vertical="top"/>
    </xf>
    <xf numFmtId="0" fontId="0" fillId="0" borderId="0" xfId="0" applyAlignment="1">
      <alignment vertical="top"/>
    </xf>
    <xf numFmtId="0" fontId="14" fillId="0" borderId="0" xfId="0" applyFont="1" applyAlignment="1">
      <alignment vertical="top"/>
    </xf>
    <xf numFmtId="164" fontId="36" fillId="0" borderId="3" xfId="2" applyNumberFormat="1" applyFont="1" applyBorder="1" applyAlignment="1">
      <alignment horizontal="center" vertical="top"/>
    </xf>
    <xf numFmtId="0" fontId="7" fillId="4" borderId="3" xfId="0" applyFont="1" applyFill="1" applyBorder="1" applyAlignment="1">
      <alignment vertical="top"/>
    </xf>
    <xf numFmtId="164" fontId="35" fillId="8" borderId="13" xfId="2" applyNumberFormat="1" applyFont="1" applyFill="1" applyBorder="1" applyAlignment="1">
      <alignment horizontal="right" vertical="center"/>
    </xf>
    <xf numFmtId="0" fontId="8" fillId="0" borderId="11" xfId="0" applyFont="1" applyBorder="1" applyAlignment="1">
      <alignment vertical="center"/>
    </xf>
    <xf numFmtId="0" fontId="7" fillId="0" borderId="12" xfId="0" applyFont="1" applyBorder="1" applyAlignment="1">
      <alignment vertical="center"/>
    </xf>
    <xf numFmtId="4" fontId="8" fillId="0" borderId="12" xfId="0" applyNumberFormat="1" applyFont="1" applyBorder="1" applyAlignment="1">
      <alignment vertical="center"/>
    </xf>
    <xf numFmtId="164" fontId="37" fillId="0" borderId="7" xfId="2" applyNumberFormat="1" applyFont="1" applyBorder="1" applyAlignment="1">
      <alignment horizontal="center" vertical="center"/>
    </xf>
    <xf numFmtId="0" fontId="38" fillId="7" borderId="0" xfId="0" applyFont="1" applyFill="1"/>
    <xf numFmtId="0" fontId="0" fillId="0" borderId="0" xfId="0" applyAlignment="1">
      <alignment horizontal="right" vertical="center"/>
    </xf>
    <xf numFmtId="1" fontId="27" fillId="13" borderId="0" xfId="0" quotePrefix="1" applyNumberFormat="1" applyFont="1" applyFill="1" applyAlignment="1">
      <alignment horizontal="left" vertical="center"/>
    </xf>
    <xf numFmtId="0" fontId="7" fillId="2" borderId="11" xfId="0" applyFont="1" applyFill="1" applyBorder="1" applyAlignment="1">
      <alignment vertical="top"/>
    </xf>
    <xf numFmtId="165" fontId="7" fillId="2" borderId="7" xfId="0" applyNumberFormat="1" applyFont="1" applyFill="1" applyBorder="1" applyAlignment="1">
      <alignment vertical="top"/>
    </xf>
    <xf numFmtId="0" fontId="30" fillId="0" borderId="0" xfId="1" applyFont="1" applyAlignment="1" applyProtection="1">
      <alignment horizontal="left"/>
    </xf>
    <xf numFmtId="0" fontId="10" fillId="2" borderId="6" xfId="0" applyFont="1" applyFill="1" applyBorder="1" applyAlignment="1">
      <alignment horizontal="center"/>
    </xf>
    <xf numFmtId="0" fontId="12" fillId="2" borderId="6" xfId="0" applyFont="1" applyFill="1" applyBorder="1" applyAlignment="1">
      <alignment horizontal="center"/>
    </xf>
    <xf numFmtId="0" fontId="11" fillId="2" borderId="6" xfId="0" applyFont="1" applyFill="1" applyBorder="1" applyAlignment="1">
      <alignment horizontal="center"/>
    </xf>
    <xf numFmtId="0" fontId="8" fillId="2" borderId="5" xfId="0" applyFont="1" applyFill="1" applyBorder="1" applyAlignment="1">
      <alignment horizontal="center"/>
    </xf>
    <xf numFmtId="169" fontId="7" fillId="0" borderId="3" xfId="0" applyNumberFormat="1" applyFont="1" applyBorder="1" applyAlignment="1">
      <alignment horizontal="right" vertical="top"/>
    </xf>
    <xf numFmtId="164" fontId="34" fillId="8" borderId="6" xfId="2" applyNumberFormat="1" applyFont="1" applyFill="1" applyBorder="1" applyAlignment="1">
      <alignment horizontal="center" vertical="top"/>
    </xf>
    <xf numFmtId="0" fontId="7" fillId="4" borderId="3" xfId="0" applyFont="1" applyFill="1" applyBorder="1" applyAlignment="1">
      <alignment horizontal="center" vertical="top"/>
    </xf>
    <xf numFmtId="0" fontId="8" fillId="2" borderId="11" xfId="0" applyFont="1" applyFill="1" applyBorder="1" applyAlignment="1">
      <alignment horizontal="center" vertical="center"/>
    </xf>
    <xf numFmtId="0" fontId="7" fillId="8" borderId="3" xfId="0" applyFont="1" applyFill="1" applyBorder="1" applyAlignment="1">
      <alignment horizontal="center" vertical="top"/>
    </xf>
    <xf numFmtId="0" fontId="8" fillId="0" borderId="7" xfId="0" applyFont="1" applyBorder="1" applyAlignment="1">
      <alignment horizontal="center" vertical="top"/>
    </xf>
    <xf numFmtId="0" fontId="7" fillId="2" borderId="4" xfId="0" applyFont="1" applyFill="1" applyBorder="1" applyAlignment="1">
      <alignment horizontal="center" vertical="center"/>
    </xf>
    <xf numFmtId="169" fontId="7" fillId="0" borderId="3" xfId="0" applyNumberFormat="1" applyFont="1" applyBorder="1" applyAlignment="1">
      <alignment horizontal="center" vertical="top"/>
    </xf>
    <xf numFmtId="0" fontId="8" fillId="3" borderId="3" xfId="0" applyFont="1" applyFill="1" applyBorder="1" applyAlignment="1">
      <alignment horizontal="center"/>
    </xf>
    <xf numFmtId="169" fontId="7" fillId="0" borderId="7" xfId="0" applyNumberFormat="1" applyFont="1" applyBorder="1" applyAlignment="1">
      <alignment horizontal="right" vertical="top"/>
    </xf>
    <xf numFmtId="1" fontId="0" fillId="10" borderId="15" xfId="0" applyNumberFormat="1" applyFill="1" applyBorder="1"/>
    <xf numFmtId="0" fontId="7" fillId="2" borderId="4" xfId="0" applyFont="1" applyFill="1" applyBorder="1" applyAlignment="1">
      <alignment vertical="center"/>
    </xf>
    <xf numFmtId="164" fontId="36" fillId="8" borderId="9" xfId="2" applyNumberFormat="1" applyFont="1" applyFill="1" applyBorder="1" applyAlignment="1">
      <alignment horizontal="center" vertical="top"/>
    </xf>
    <xf numFmtId="169" fontId="36" fillId="8" borderId="9" xfId="2" applyNumberFormat="1" applyFont="1" applyFill="1" applyBorder="1" applyAlignment="1">
      <alignment horizontal="center" vertical="top"/>
    </xf>
    <xf numFmtId="164" fontId="36" fillId="8" borderId="3" xfId="2" applyNumberFormat="1" applyFont="1" applyFill="1" applyBorder="1" applyAlignment="1">
      <alignment horizontal="center" vertical="top"/>
    </xf>
    <xf numFmtId="164" fontId="36" fillId="12" borderId="7" xfId="2" applyNumberFormat="1" applyFont="1" applyFill="1" applyBorder="1" applyAlignment="1">
      <alignment horizontal="center" vertical="top"/>
    </xf>
    <xf numFmtId="0" fontId="40" fillId="4" borderId="3" xfId="0" applyFont="1" applyFill="1" applyBorder="1" applyAlignment="1">
      <alignment vertical="top" wrapText="1"/>
    </xf>
    <xf numFmtId="164" fontId="36" fillId="8" borderId="7" xfId="2" applyNumberFormat="1" applyFont="1" applyFill="1" applyBorder="1" applyAlignment="1">
      <alignment horizontal="right" vertical="center"/>
    </xf>
    <xf numFmtId="169" fontId="7" fillId="15" borderId="3" xfId="0" applyNumberFormat="1" applyFont="1" applyFill="1" applyBorder="1" applyAlignment="1">
      <alignment horizontal="center" vertical="center"/>
    </xf>
    <xf numFmtId="169" fontId="41" fillId="16" borderId="3" xfId="0" applyNumberFormat="1" applyFont="1" applyFill="1" applyBorder="1" applyAlignment="1">
      <alignment horizontal="center" vertical="center"/>
    </xf>
    <xf numFmtId="169" fontId="37" fillId="17" borderId="3" xfId="0" applyNumberFormat="1" applyFont="1" applyFill="1" applyBorder="1" applyAlignment="1">
      <alignment horizontal="center" vertical="center"/>
    </xf>
    <xf numFmtId="169" fontId="36" fillId="18" borderId="3" xfId="0" applyNumberFormat="1" applyFont="1" applyFill="1" applyBorder="1" applyAlignment="1">
      <alignment horizontal="center" vertical="center"/>
    </xf>
    <xf numFmtId="0" fontId="7" fillId="15" borderId="0" xfId="0" applyFont="1" applyFill="1" applyAlignment="1">
      <alignment horizontal="center" vertical="center"/>
    </xf>
    <xf numFmtId="169" fontId="7" fillId="0" borderId="0" xfId="0" applyNumberFormat="1" applyFont="1" applyAlignment="1">
      <alignment vertical="center"/>
    </xf>
    <xf numFmtId="0" fontId="8" fillId="0" borderId="0" xfId="0" applyFont="1" applyAlignment="1">
      <alignment horizontal="right"/>
    </xf>
    <xf numFmtId="169" fontId="7" fillId="0" borderId="0" xfId="0" applyNumberFormat="1" applyFont="1"/>
    <xf numFmtId="0" fontId="7" fillId="0" borderId="0" xfId="0" applyFont="1" applyAlignment="1">
      <alignment vertical="center"/>
    </xf>
    <xf numFmtId="1" fontId="8" fillId="0" borderId="0" xfId="0" applyNumberFormat="1" applyFont="1" applyAlignment="1">
      <alignment horizontal="center"/>
    </xf>
    <xf numFmtId="1" fontId="8" fillId="0" borderId="0" xfId="0" applyNumberFormat="1" applyFont="1"/>
    <xf numFmtId="0" fontId="8" fillId="0" borderId="0" xfId="0" applyFont="1" applyAlignment="1">
      <alignment vertical="center"/>
    </xf>
    <xf numFmtId="169" fontId="42" fillId="0" borderId="0" xfId="0" applyNumberFormat="1" applyFont="1" applyAlignment="1">
      <alignment horizontal="center" vertical="center"/>
    </xf>
    <xf numFmtId="169" fontId="43" fillId="0" borderId="0" xfId="0" applyNumberFormat="1" applyFont="1" applyAlignment="1">
      <alignment horizontal="center" vertical="center"/>
    </xf>
    <xf numFmtId="164" fontId="8" fillId="6" borderId="0" xfId="0" applyNumberFormat="1" applyFont="1" applyFill="1" applyAlignment="1">
      <alignment vertical="center"/>
    </xf>
    <xf numFmtId="1" fontId="7" fillId="0" borderId="0" xfId="0" applyNumberFormat="1" applyFont="1"/>
    <xf numFmtId="0" fontId="7" fillId="0" borderId="0" xfId="0" applyFont="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0" borderId="0" xfId="0" applyFont="1" applyAlignment="1">
      <alignment horizontal="left"/>
    </xf>
    <xf numFmtId="9" fontId="8" fillId="0" borderId="0" xfId="0" applyNumberFormat="1" applyFont="1"/>
    <xf numFmtId="9" fontId="7" fillId="0" borderId="0" xfId="0" applyNumberFormat="1" applyFont="1"/>
    <xf numFmtId="0" fontId="8" fillId="0" borderId="0" xfId="0" applyFont="1" applyAlignment="1">
      <alignment horizontal="left"/>
    </xf>
    <xf numFmtId="169" fontId="7" fillId="0" borderId="7" xfId="0" applyNumberFormat="1" applyFont="1" applyBorder="1" applyAlignment="1">
      <alignment horizontal="right" vertical="center"/>
    </xf>
    <xf numFmtId="0" fontId="44" fillId="0" borderId="0" xfId="0" applyFont="1"/>
    <xf numFmtId="1" fontId="45" fillId="0" borderId="0" xfId="0" applyNumberFormat="1" applyFont="1"/>
    <xf numFmtId="1" fontId="44" fillId="0" borderId="0" xfId="0" applyNumberFormat="1" applyFont="1"/>
    <xf numFmtId="0" fontId="44" fillId="0" borderId="0" xfId="0" applyFont="1" applyAlignment="1">
      <alignment horizontal="right"/>
    </xf>
    <xf numFmtId="0" fontId="44" fillId="0" borderId="0" xfId="0" applyFont="1" applyAlignment="1">
      <alignment wrapText="1"/>
    </xf>
    <xf numFmtId="0" fontId="44" fillId="0" borderId="0" xfId="0" applyFont="1" applyAlignment="1">
      <alignment horizontal="center"/>
    </xf>
    <xf numFmtId="0" fontId="40" fillId="0" borderId="3" xfId="0" applyFont="1" applyBorder="1" applyAlignment="1">
      <alignment vertical="center" wrapText="1"/>
    </xf>
    <xf numFmtId="0" fontId="46" fillId="0" borderId="0" xfId="0" applyFont="1" applyAlignment="1">
      <alignment vertical="top" wrapText="1"/>
    </xf>
    <xf numFmtId="0" fontId="46" fillId="0" borderId="0" xfId="0" applyFont="1"/>
    <xf numFmtId="0" fontId="46" fillId="0" borderId="0" xfId="0" applyFont="1" applyAlignment="1">
      <alignment horizontal="center"/>
    </xf>
    <xf numFmtId="0" fontId="8" fillId="5" borderId="7" xfId="0" applyFont="1" applyFill="1" applyBorder="1" applyAlignment="1">
      <alignment vertical="top"/>
    </xf>
    <xf numFmtId="0" fontId="47" fillId="0" borderId="0" xfId="0" applyFont="1"/>
    <xf numFmtId="0" fontId="47" fillId="0" borderId="0" xfId="0" applyFont="1" applyAlignment="1">
      <alignment horizontal="right"/>
    </xf>
    <xf numFmtId="0" fontId="48" fillId="0" borderId="0" xfId="0" applyFont="1" applyAlignment="1">
      <alignment horizontal="right"/>
    </xf>
    <xf numFmtId="2" fontId="47" fillId="0" borderId="0" xfId="0" applyNumberFormat="1" applyFont="1" applyAlignment="1">
      <alignment horizontal="right"/>
    </xf>
    <xf numFmtId="4" fontId="47" fillId="0" borderId="0" xfId="0" applyNumberFormat="1" applyFont="1" applyAlignment="1">
      <alignment horizontal="right"/>
    </xf>
    <xf numFmtId="168" fontId="47" fillId="0" borderId="0" xfId="0" applyNumberFormat="1" applyFont="1" applyAlignment="1">
      <alignment horizontal="center"/>
    </xf>
    <xf numFmtId="0" fontId="48" fillId="0" borderId="0" xfId="0" applyFont="1" applyAlignment="1">
      <alignment horizontal="center"/>
    </xf>
    <xf numFmtId="0" fontId="47" fillId="0" borderId="0" xfId="0" applyFont="1" applyAlignment="1">
      <alignment horizontal="center"/>
    </xf>
    <xf numFmtId="0" fontId="47" fillId="0" borderId="0" xfId="0" applyFont="1" applyAlignment="1">
      <alignment horizontal="left"/>
    </xf>
    <xf numFmtId="168" fontId="48" fillId="0" borderId="0" xfId="0" applyNumberFormat="1" applyFont="1" applyAlignment="1">
      <alignment horizontal="center"/>
    </xf>
    <xf numFmtId="167" fontId="47" fillId="0" borderId="0" xfId="0" applyNumberFormat="1" applyFont="1"/>
    <xf numFmtId="0" fontId="8" fillId="5" borderId="9" xfId="0" applyFont="1" applyFill="1" applyBorder="1" applyAlignment="1">
      <alignment vertical="top" wrapText="1"/>
    </xf>
    <xf numFmtId="164" fontId="49" fillId="8" borderId="12" xfId="2" applyNumberFormat="1" applyFont="1" applyFill="1" applyBorder="1" applyAlignment="1">
      <alignment horizontal="center" vertical="center"/>
    </xf>
    <xf numFmtId="164" fontId="49" fillId="8" borderId="13" xfId="2" applyNumberFormat="1" applyFont="1" applyFill="1" applyBorder="1" applyAlignment="1">
      <alignment horizontal="center" vertical="center"/>
    </xf>
    <xf numFmtId="0" fontId="38" fillId="0" borderId="0" xfId="0" applyFont="1" applyAlignment="1">
      <alignment horizontal="right"/>
    </xf>
    <xf numFmtId="0" fontId="50" fillId="2" borderId="3" xfId="0" applyFont="1" applyFill="1" applyBorder="1" applyAlignment="1">
      <alignment horizontal="right"/>
    </xf>
    <xf numFmtId="4" fontId="47" fillId="0" borderId="0" xfId="0" applyNumberFormat="1" applyFont="1"/>
    <xf numFmtId="10" fontId="47" fillId="0" borderId="0" xfId="0" applyNumberFormat="1" applyFont="1"/>
    <xf numFmtId="164" fontId="7" fillId="5" borderId="3" xfId="0" applyNumberFormat="1" applyFont="1" applyFill="1" applyBorder="1" applyAlignment="1">
      <alignment horizontal="center" vertical="center"/>
    </xf>
    <xf numFmtId="0" fontId="8" fillId="0" borderId="0" xfId="0" applyFont="1" applyAlignment="1">
      <alignment horizontal="right" vertical="center"/>
    </xf>
    <xf numFmtId="165" fontId="8" fillId="0" borderId="7" xfId="0" applyNumberFormat="1" applyFont="1" applyBorder="1" applyAlignment="1">
      <alignment vertical="top"/>
    </xf>
    <xf numFmtId="0" fontId="8" fillId="2" borderId="1" xfId="0" applyFont="1" applyFill="1" applyBorder="1" applyAlignment="1">
      <alignment horizontal="center" vertical="center"/>
    </xf>
    <xf numFmtId="0" fontId="8" fillId="2" borderId="1" xfId="0" applyFont="1" applyFill="1" applyBorder="1" applyAlignment="1">
      <alignment vertical="center"/>
    </xf>
    <xf numFmtId="0" fontId="10" fillId="6" borderId="1" xfId="0" applyFont="1" applyFill="1" applyBorder="1" applyAlignment="1">
      <alignment horizontal="center" vertical="center"/>
    </xf>
    <xf numFmtId="0" fontId="8" fillId="6" borderId="3" xfId="0" applyFont="1" applyFill="1" applyBorder="1" applyAlignment="1">
      <alignment horizontal="center" vertical="center"/>
    </xf>
    <xf numFmtId="0" fontId="11" fillId="6" borderId="2" xfId="0" applyFont="1" applyFill="1" applyBorder="1" applyAlignment="1">
      <alignment horizontal="center" vertical="center"/>
    </xf>
    <xf numFmtId="0" fontId="12" fillId="2" borderId="1"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13" fillId="3" borderId="2" xfId="0" applyFont="1" applyFill="1" applyBorder="1" applyAlignment="1">
      <alignment horizontal="right" vertical="center"/>
    </xf>
    <xf numFmtId="0" fontId="14" fillId="0" borderId="0" xfId="0" applyFont="1" applyAlignment="1">
      <alignment vertical="center"/>
    </xf>
    <xf numFmtId="0" fontId="8" fillId="2" borderId="3" xfId="0" applyFont="1" applyFill="1" applyBorder="1" applyAlignment="1">
      <alignment horizontal="left" vertical="center" wrapText="1"/>
    </xf>
    <xf numFmtId="0" fontId="8" fillId="3" borderId="2" xfId="0" applyFont="1" applyFill="1" applyBorder="1" applyAlignment="1">
      <alignment horizontal="right" vertical="center"/>
    </xf>
    <xf numFmtId="164" fontId="39" fillId="11" borderId="7" xfId="2" applyNumberFormat="1" applyFont="1" applyFill="1" applyBorder="1" applyAlignment="1">
      <alignment horizontal="center" vertical="center"/>
    </xf>
    <xf numFmtId="164" fontId="39" fillId="0" borderId="7" xfId="2" applyNumberFormat="1" applyFont="1" applyBorder="1" applyAlignment="1">
      <alignment horizontal="center" vertical="center"/>
    </xf>
    <xf numFmtId="0" fontId="0" fillId="0" borderId="0" xfId="0" applyAlignment="1">
      <alignment vertical="center" wrapText="1"/>
    </xf>
    <xf numFmtId="0" fontId="17" fillId="0" borderId="18" xfId="0" applyFont="1" applyBorder="1" applyAlignment="1">
      <alignment vertical="center"/>
    </xf>
    <xf numFmtId="0" fontId="17" fillId="0" borderId="19" xfId="0" applyFont="1" applyBorder="1" applyAlignment="1">
      <alignment vertical="center"/>
    </xf>
    <xf numFmtId="0" fontId="51" fillId="0" borderId="0" xfId="0" applyFont="1"/>
    <xf numFmtId="9" fontId="0" fillId="0" borderId="0" xfId="0" applyNumberFormat="1"/>
    <xf numFmtId="0" fontId="17" fillId="0" borderId="0" xfId="0" applyFont="1"/>
    <xf numFmtId="9" fontId="52" fillId="0" borderId="0" xfId="0" applyNumberFormat="1" applyFont="1" applyAlignment="1">
      <alignment horizontal="center"/>
    </xf>
    <xf numFmtId="0" fontId="8" fillId="0" borderId="0" xfId="0" applyFont="1"/>
    <xf numFmtId="0" fontId="17" fillId="7" borderId="0" xfId="0" applyFont="1" applyFill="1"/>
    <xf numFmtId="170" fontId="47" fillId="0" borderId="0" xfId="0" applyNumberFormat="1" applyFont="1"/>
    <xf numFmtId="3" fontId="47" fillId="0" borderId="0" xfId="0" applyNumberFormat="1" applyFont="1" applyAlignment="1">
      <alignment horizontal="center"/>
    </xf>
    <xf numFmtId="167" fontId="47" fillId="0" borderId="0" xfId="0" applyNumberFormat="1" applyFont="1" applyAlignment="1">
      <alignment horizontal="right"/>
    </xf>
    <xf numFmtId="166" fontId="47" fillId="0" borderId="0" xfId="0" applyNumberFormat="1" applyFont="1"/>
    <xf numFmtId="4" fontId="47" fillId="9" borderId="0" xfId="0" applyNumberFormat="1" applyFont="1" applyFill="1" applyAlignment="1">
      <alignment horizontal="right"/>
    </xf>
    <xf numFmtId="9" fontId="47" fillId="0" borderId="0" xfId="0" applyNumberFormat="1" applyFont="1"/>
    <xf numFmtId="10" fontId="47" fillId="9" borderId="0" xfId="0" applyNumberFormat="1" applyFont="1" applyFill="1"/>
    <xf numFmtId="164" fontId="36" fillId="8" borderId="6" xfId="2" applyNumberFormat="1" applyFont="1" applyFill="1" applyBorder="1" applyAlignment="1">
      <alignment horizontal="center" vertical="top"/>
    </xf>
    <xf numFmtId="169" fontId="36" fillId="8" borderId="6" xfId="2" applyNumberFormat="1" applyFont="1" applyFill="1" applyBorder="1" applyAlignment="1">
      <alignment horizontal="center" vertical="top"/>
    </xf>
    <xf numFmtId="0" fontId="0" fillId="14" borderId="16" xfId="0" applyFill="1" applyBorder="1"/>
    <xf numFmtId="164" fontId="36" fillId="0" borderId="17" xfId="2" applyNumberFormat="1" applyFont="1" applyBorder="1" applyAlignment="1">
      <alignment horizontal="center" vertical="top"/>
    </xf>
    <xf numFmtId="164" fontId="7" fillId="0" borderId="0" xfId="0" applyNumberFormat="1" applyFont="1" applyAlignment="1">
      <alignment horizontal="left"/>
    </xf>
    <xf numFmtId="0" fontId="40" fillId="12" borderId="3" xfId="0" applyFont="1" applyFill="1" applyBorder="1" applyAlignment="1">
      <alignment vertical="top" wrapText="1"/>
    </xf>
    <xf numFmtId="0" fontId="0" fillId="7" borderId="0" xfId="0" applyFill="1" applyAlignment="1">
      <alignment horizontal="center"/>
    </xf>
    <xf numFmtId="9" fontId="7" fillId="5" borderId="3" xfId="0" quotePrefix="1" applyNumberFormat="1" applyFont="1" applyFill="1" applyBorder="1" applyAlignment="1">
      <alignment horizontal="center" vertical="top"/>
    </xf>
    <xf numFmtId="9" fontId="7" fillId="5" borderId="6" xfId="0" quotePrefix="1" applyNumberFormat="1" applyFont="1" applyFill="1" applyBorder="1" applyAlignment="1">
      <alignment horizontal="center" vertical="top"/>
    </xf>
    <xf numFmtId="164" fontId="8" fillId="8" borderId="7" xfId="0" applyNumberFormat="1" applyFont="1" applyFill="1" applyBorder="1" applyAlignment="1">
      <alignment horizontal="center" vertical="center"/>
    </xf>
    <xf numFmtId="164" fontId="8" fillId="0" borderId="0" xfId="0" applyNumberFormat="1" applyFont="1" applyAlignment="1">
      <alignment horizontal="center"/>
    </xf>
    <xf numFmtId="9" fontId="7" fillId="5" borderId="17" xfId="0" quotePrefix="1" applyNumberFormat="1" applyFont="1" applyFill="1" applyBorder="1" applyAlignment="1">
      <alignment horizontal="center" vertical="top"/>
    </xf>
    <xf numFmtId="165" fontId="7" fillId="2" borderId="13" xfId="0" applyNumberFormat="1" applyFont="1" applyFill="1" applyBorder="1" applyAlignment="1">
      <alignment horizontal="center" vertical="top"/>
    </xf>
    <xf numFmtId="1" fontId="0" fillId="7" borderId="0" xfId="0" applyNumberFormat="1" applyFill="1" applyAlignment="1">
      <alignment horizontal="center"/>
    </xf>
    <xf numFmtId="0" fontId="46" fillId="0" borderId="0" xfId="0" applyFont="1" applyAlignment="1">
      <alignment horizontal="right" wrapText="1"/>
    </xf>
    <xf numFmtId="0" fontId="38" fillId="0" borderId="0" xfId="0" applyFont="1"/>
    <xf numFmtId="11" fontId="46" fillId="0" borderId="0" xfId="0" applyNumberFormat="1" applyFont="1"/>
    <xf numFmtId="0" fontId="21" fillId="0" borderId="0" xfId="0" applyFont="1" applyAlignment="1">
      <alignment horizontal="right" vertical="top"/>
    </xf>
    <xf numFmtId="0" fontId="46" fillId="0" borderId="0" xfId="0" applyFont="1" applyAlignment="1">
      <alignment horizontal="left" vertical="top"/>
    </xf>
    <xf numFmtId="0" fontId="0" fillId="0" borderId="0" xfId="0" applyAlignment="1">
      <alignment horizontal="center" vertical="center"/>
    </xf>
    <xf numFmtId="0" fontId="38" fillId="0" borderId="0" xfId="0" applyFont="1" applyAlignment="1">
      <alignment horizontal="center" vertical="center"/>
    </xf>
    <xf numFmtId="0" fontId="38" fillId="0" borderId="0" xfId="0" applyFont="1" applyAlignment="1">
      <alignment horizontal="right" vertical="center"/>
    </xf>
    <xf numFmtId="0" fontId="21" fillId="0" borderId="0" xfId="0" applyFont="1" applyAlignment="1">
      <alignment horizontal="right" vertical="center"/>
    </xf>
    <xf numFmtId="0" fontId="46" fillId="0" borderId="0" xfId="0" applyFont="1" applyAlignment="1">
      <alignment horizontal="center" vertical="top"/>
    </xf>
    <xf numFmtId="165" fontId="46" fillId="0" borderId="0" xfId="0" applyNumberFormat="1" applyFont="1" applyAlignment="1">
      <alignment vertical="top"/>
    </xf>
    <xf numFmtId="10" fontId="46" fillId="0" borderId="0" xfId="0" applyNumberFormat="1" applyFont="1" applyAlignment="1">
      <alignment vertical="top"/>
    </xf>
    <xf numFmtId="169" fontId="46" fillId="0" borderId="0" xfId="0" applyNumberFormat="1" applyFont="1" applyAlignment="1">
      <alignment vertical="top"/>
    </xf>
    <xf numFmtId="165" fontId="46" fillId="0" borderId="0" xfId="0" applyNumberFormat="1" applyFont="1" applyAlignment="1">
      <alignment horizontal="center" vertical="top"/>
    </xf>
    <xf numFmtId="169" fontId="46" fillId="0" borderId="0" xfId="0" applyNumberFormat="1" applyFont="1" applyAlignment="1">
      <alignment horizontal="left" vertical="top"/>
    </xf>
    <xf numFmtId="10" fontId="38" fillId="0" borderId="0" xfId="0" applyNumberFormat="1" applyFont="1" applyAlignment="1">
      <alignment vertical="top"/>
    </xf>
    <xf numFmtId="165" fontId="38" fillId="0" borderId="0" xfId="0" applyNumberFormat="1" applyFont="1" applyAlignment="1">
      <alignment vertical="top"/>
    </xf>
    <xf numFmtId="165" fontId="5" fillId="0" borderId="0" xfId="0" applyNumberFormat="1" applyFont="1" applyAlignment="1">
      <alignment vertical="top"/>
    </xf>
    <xf numFmtId="0" fontId="46" fillId="0" borderId="0" xfId="0" applyFont="1" applyAlignment="1">
      <alignment horizontal="center" vertical="center"/>
    </xf>
    <xf numFmtId="0" fontId="46" fillId="0" borderId="0" xfId="0" applyFont="1" applyAlignment="1">
      <alignment vertical="center"/>
    </xf>
    <xf numFmtId="165" fontId="46" fillId="0" borderId="0" xfId="0" applyNumberFormat="1" applyFont="1" applyAlignment="1">
      <alignment vertical="center"/>
    </xf>
    <xf numFmtId="10" fontId="3" fillId="0" borderId="0" xfId="0" applyNumberFormat="1" applyFont="1" applyAlignment="1">
      <alignment vertical="top"/>
    </xf>
    <xf numFmtId="165" fontId="4" fillId="0" borderId="0" xfId="0" applyNumberFormat="1" applyFont="1" applyAlignment="1">
      <alignment vertical="top"/>
    </xf>
    <xf numFmtId="0" fontId="46" fillId="0" borderId="0" xfId="0" quotePrefix="1" applyFont="1" applyAlignment="1">
      <alignment horizontal="right"/>
    </xf>
    <xf numFmtId="0" fontId="46" fillId="0" borderId="0" xfId="0" applyFont="1" applyAlignment="1">
      <alignment horizontal="right"/>
    </xf>
    <xf numFmtId="0" fontId="38" fillId="0" borderId="0" xfId="0" applyFont="1" applyAlignment="1">
      <alignment horizontal="center" vertical="top"/>
    </xf>
    <xf numFmtId="4" fontId="38" fillId="0" borderId="0" xfId="0" applyNumberFormat="1" applyFont="1" applyAlignment="1">
      <alignment horizontal="right" vertical="top"/>
    </xf>
    <xf numFmtId="0" fontId="38" fillId="0" borderId="0" xfId="0" applyFont="1" applyAlignment="1">
      <alignment horizontal="right" vertical="top"/>
    </xf>
    <xf numFmtId="168" fontId="46" fillId="0" borderId="0" xfId="0" applyNumberFormat="1" applyFont="1" applyAlignment="1">
      <alignment vertical="top"/>
    </xf>
    <xf numFmtId="165" fontId="21" fillId="0" borderId="0" xfId="0" applyNumberFormat="1" applyFont="1" applyAlignment="1">
      <alignment vertical="top"/>
    </xf>
    <xf numFmtId="0" fontId="3" fillId="0" borderId="0" xfId="0" applyFont="1" applyAlignment="1">
      <alignment horizontal="center"/>
    </xf>
    <xf numFmtId="165" fontId="38" fillId="0" borderId="0" xfId="0" applyNumberFormat="1" applyFont="1" applyAlignment="1">
      <alignment horizontal="center" vertical="top"/>
    </xf>
    <xf numFmtId="165" fontId="53" fillId="0" borderId="0" xfId="0" applyNumberFormat="1" applyFont="1" applyAlignment="1">
      <alignment horizontal="center" vertical="top"/>
    </xf>
    <xf numFmtId="165" fontId="54" fillId="0" borderId="0" xfId="0" applyNumberFormat="1" applyFont="1" applyAlignment="1">
      <alignment horizontal="center" vertical="top"/>
    </xf>
    <xf numFmtId="165" fontId="55" fillId="0" borderId="0" xfId="0" applyNumberFormat="1" applyFont="1" applyAlignment="1">
      <alignment horizontal="center" vertical="top"/>
    </xf>
    <xf numFmtId="169" fontId="38" fillId="0" borderId="0" xfId="0" applyNumberFormat="1" applyFont="1" applyAlignment="1">
      <alignment horizontal="right" vertical="center"/>
    </xf>
    <xf numFmtId="0" fontId="0" fillId="19" borderId="0" xfId="0" applyFill="1"/>
    <xf numFmtId="0" fontId="56" fillId="19" borderId="0" xfId="0" applyFont="1" applyFill="1" applyAlignment="1">
      <alignment vertical="center"/>
    </xf>
    <xf numFmtId="171" fontId="46" fillId="0" borderId="0" xfId="0" applyNumberFormat="1" applyFont="1" applyAlignment="1">
      <alignment vertical="top"/>
    </xf>
    <xf numFmtId="171" fontId="46" fillId="0" borderId="0" xfId="0" applyNumberFormat="1" applyFont="1" applyAlignment="1">
      <alignment vertical="center"/>
    </xf>
    <xf numFmtId="171" fontId="46" fillId="0" borderId="0" xfId="0" applyNumberFormat="1" applyFont="1"/>
    <xf numFmtId="0" fontId="46" fillId="17" borderId="0" xfId="0" applyFont="1" applyFill="1" applyAlignment="1">
      <alignment horizontal="center" wrapText="1"/>
    </xf>
    <xf numFmtId="2" fontId="7" fillId="0" borderId="0" xfId="0" applyNumberFormat="1" applyFont="1" applyAlignment="1">
      <alignment horizontal="center" vertical="center"/>
    </xf>
    <xf numFmtId="10" fontId="48" fillId="0" borderId="0" xfId="0" applyNumberFormat="1" applyFont="1" applyAlignment="1">
      <alignment horizontal="center"/>
    </xf>
    <xf numFmtId="10" fontId="48" fillId="9" borderId="0" xfId="0" applyNumberFormat="1" applyFont="1" applyFill="1" applyAlignment="1">
      <alignment horizontal="center"/>
    </xf>
    <xf numFmtId="164" fontId="47" fillId="9" borderId="0" xfId="0" applyNumberFormat="1" applyFont="1" applyFill="1" applyAlignment="1">
      <alignment horizontal="right"/>
    </xf>
    <xf numFmtId="169" fontId="47" fillId="20" borderId="0" xfId="0" applyNumberFormat="1" applyFont="1" applyFill="1"/>
    <xf numFmtId="3" fontId="7" fillId="4" borderId="3" xfId="0" applyNumberFormat="1" applyFont="1" applyFill="1" applyBorder="1" applyAlignment="1">
      <alignment horizontal="center" vertical="top"/>
    </xf>
    <xf numFmtId="0" fontId="12" fillId="2" borderId="3" xfId="0" applyFont="1" applyFill="1" applyBorder="1" applyAlignment="1">
      <alignment horizontal="center"/>
    </xf>
    <xf numFmtId="4" fontId="7" fillId="4" borderId="3" xfId="0" applyNumberFormat="1" applyFont="1" applyFill="1" applyBorder="1" applyAlignment="1">
      <alignment horizontal="center" vertical="top"/>
    </xf>
    <xf numFmtId="169" fontId="46" fillId="0" borderId="0" xfId="0" applyNumberFormat="1" applyFont="1"/>
    <xf numFmtId="9" fontId="57" fillId="20" borderId="0" xfId="0" applyNumberFormat="1" applyFont="1" applyFill="1" applyAlignment="1">
      <alignment horizontal="center" vertical="center"/>
    </xf>
    <xf numFmtId="169" fontId="37" fillId="0" borderId="7" xfId="2" applyNumberFormat="1" applyFont="1" applyBorder="1" applyAlignment="1">
      <alignment horizontal="center" vertical="center"/>
    </xf>
    <xf numFmtId="172" fontId="7" fillId="4" borderId="3" xfId="0" applyNumberFormat="1" applyFont="1" applyFill="1" applyBorder="1" applyAlignment="1">
      <alignment horizontal="center" vertical="top"/>
    </xf>
    <xf numFmtId="169" fontId="39" fillId="11" borderId="7" xfId="2" applyNumberFormat="1" applyFont="1" applyFill="1" applyBorder="1" applyAlignment="1">
      <alignment horizontal="center" vertical="center"/>
    </xf>
    <xf numFmtId="9" fontId="58" fillId="0" borderId="3" xfId="0" applyNumberFormat="1" applyFont="1" applyBorder="1" applyAlignment="1">
      <alignment horizontal="center" vertical="center"/>
    </xf>
    <xf numFmtId="0" fontId="21" fillId="0" borderId="0" xfId="0" applyFont="1" applyAlignment="1">
      <alignment horizontal="right"/>
    </xf>
    <xf numFmtId="0" fontId="60" fillId="0" borderId="0" xfId="0" quotePrefix="1" applyFont="1" applyAlignment="1">
      <alignment horizontal="center"/>
    </xf>
    <xf numFmtId="0" fontId="60" fillId="0" borderId="0" xfId="0" applyFont="1"/>
    <xf numFmtId="0" fontId="60" fillId="0" borderId="0" xfId="0" applyFont="1" applyAlignment="1">
      <alignment horizontal="center"/>
    </xf>
    <xf numFmtId="0" fontId="21" fillId="0" borderId="0" xfId="0" applyFont="1" applyAlignment="1">
      <alignment horizontal="center"/>
    </xf>
    <xf numFmtId="0" fontId="61" fillId="0" borderId="0" xfId="0" applyFont="1" applyAlignment="1">
      <alignment horizontal="center"/>
    </xf>
    <xf numFmtId="0" fontId="62" fillId="22" borderId="0" xfId="0" applyFont="1" applyFill="1" applyAlignment="1">
      <alignment horizontal="center" vertical="center"/>
    </xf>
    <xf numFmtId="0" fontId="62" fillId="0" borderId="0" xfId="0" applyFont="1" applyAlignment="1">
      <alignment horizontal="center" vertical="center"/>
    </xf>
    <xf numFmtId="0" fontId="62" fillId="0" borderId="0" xfId="0" applyFont="1" applyAlignment="1">
      <alignment horizontal="center"/>
    </xf>
    <xf numFmtId="0" fontId="61" fillId="0" borderId="0" xfId="0" applyFont="1" applyAlignment="1">
      <alignment horizontal="center" vertical="center"/>
    </xf>
    <xf numFmtId="0" fontId="7" fillId="0" borderId="0" xfId="0" applyFont="1" applyAlignment="1">
      <alignment horizontal="center" vertical="center"/>
    </xf>
    <xf numFmtId="0" fontId="63" fillId="6" borderId="3" xfId="0" applyFont="1" applyFill="1" applyBorder="1" applyAlignment="1">
      <alignment horizontal="center" vertical="center"/>
    </xf>
    <xf numFmtId="0" fontId="64" fillId="6" borderId="2" xfId="0" applyFont="1" applyFill="1" applyBorder="1" applyAlignment="1">
      <alignment horizontal="center" vertical="center"/>
    </xf>
    <xf numFmtId="0" fontId="24" fillId="0" borderId="0" xfId="3" applyFont="1"/>
    <xf numFmtId="0" fontId="2" fillId="0" borderId="0" xfId="3"/>
    <xf numFmtId="0" fontId="65" fillId="21" borderId="0" xfId="3" applyFont="1" applyFill="1"/>
    <xf numFmtId="0" fontId="2" fillId="21" borderId="0" xfId="3" applyFill="1"/>
    <xf numFmtId="0" fontId="65" fillId="21" borderId="0" xfId="3" applyFont="1" applyFill="1" applyAlignment="1">
      <alignment horizontal="center"/>
    </xf>
    <xf numFmtId="0" fontId="2" fillId="21" borderId="0" xfId="3" applyFill="1" applyAlignment="1">
      <alignment horizontal="center"/>
    </xf>
    <xf numFmtId="0" fontId="62" fillId="0" borderId="0" xfId="3" applyFont="1" applyAlignment="1">
      <alignment horizontal="center" vertical="center"/>
    </xf>
    <xf numFmtId="0" fontId="2" fillId="0" borderId="0" xfId="3" quotePrefix="1"/>
    <xf numFmtId="0" fontId="65" fillId="0" borderId="0" xfId="3" applyFont="1" applyAlignment="1">
      <alignment horizontal="right"/>
    </xf>
    <xf numFmtId="0" fontId="2" fillId="5" borderId="0" xfId="3" applyFill="1" applyAlignment="1">
      <alignment horizontal="center"/>
    </xf>
    <xf numFmtId="0" fontId="65" fillId="0" borderId="0" xfId="3" applyFont="1" applyAlignment="1">
      <alignment horizontal="left"/>
    </xf>
    <xf numFmtId="0" fontId="2" fillId="0" borderId="0" xfId="3" applyAlignment="1">
      <alignment horizontal="center"/>
    </xf>
    <xf numFmtId="0" fontId="58" fillId="0" borderId="0" xfId="3" applyFont="1" applyAlignment="1">
      <alignment horizontal="center" vertical="center"/>
    </xf>
    <xf numFmtId="0" fontId="62" fillId="0" borderId="0" xfId="3" applyFont="1" applyAlignment="1">
      <alignment horizontal="left" vertical="center"/>
    </xf>
    <xf numFmtId="0" fontId="8" fillId="6" borderId="6" xfId="3" applyFont="1" applyFill="1" applyBorder="1" applyAlignment="1">
      <alignment horizontal="center" vertical="center"/>
    </xf>
    <xf numFmtId="0" fontId="65" fillId="0" borderId="0" xfId="3" applyFont="1" applyAlignment="1">
      <alignment horizontal="center"/>
    </xf>
    <xf numFmtId="0" fontId="2" fillId="0" borderId="3" xfId="3" applyBorder="1" applyAlignment="1">
      <alignment horizontal="center" vertical="center"/>
    </xf>
    <xf numFmtId="0" fontId="2" fillId="0" borderId="0" xfId="3" applyAlignment="1">
      <alignment vertical="center"/>
    </xf>
    <xf numFmtId="9" fontId="62" fillId="0" borderId="0" xfId="3" applyNumberFormat="1" applyFont="1" applyAlignment="1">
      <alignment horizontal="center" vertical="center"/>
    </xf>
    <xf numFmtId="172" fontId="2" fillId="0" borderId="0" xfId="3" applyNumberFormat="1" applyAlignment="1">
      <alignment horizontal="center" vertical="center"/>
    </xf>
    <xf numFmtId="0" fontId="58" fillId="0" borderId="0" xfId="3" applyFont="1" applyAlignment="1">
      <alignment horizontal="right" vertical="center"/>
    </xf>
    <xf numFmtId="0" fontId="62" fillId="7" borderId="0" xfId="3" applyFont="1" applyFill="1" applyAlignment="1">
      <alignment horizontal="center" vertical="center"/>
    </xf>
    <xf numFmtId="172" fontId="65" fillId="0" borderId="0" xfId="3" applyNumberFormat="1" applyFont="1" applyAlignment="1">
      <alignment horizontal="center" vertical="center"/>
    </xf>
    <xf numFmtId="0" fontId="65" fillId="0" borderId="0" xfId="3" applyFont="1" applyAlignment="1">
      <alignment vertical="center"/>
    </xf>
    <xf numFmtId="172" fontId="2" fillId="0" borderId="0" xfId="3" applyNumberFormat="1" applyAlignment="1">
      <alignment vertical="center"/>
    </xf>
    <xf numFmtId="0" fontId="62" fillId="0" borderId="0" xfId="3" applyFont="1" applyAlignment="1">
      <alignment vertical="center"/>
    </xf>
    <xf numFmtId="0" fontId="65" fillId="0" borderId="0" xfId="3" applyFont="1" applyAlignment="1">
      <alignment horizontal="center" vertical="center"/>
    </xf>
    <xf numFmtId="172" fontId="62" fillId="0" borderId="0" xfId="3" applyNumberFormat="1" applyFont="1" applyAlignment="1">
      <alignment horizontal="center" vertical="center"/>
    </xf>
    <xf numFmtId="1" fontId="62" fillId="0" borderId="0" xfId="3" applyNumberFormat="1" applyFont="1" applyAlignment="1">
      <alignment horizontal="center" vertical="center"/>
    </xf>
    <xf numFmtId="0" fontId="2" fillId="0" borderId="0" xfId="3" applyAlignment="1">
      <alignment horizontal="center" vertical="center"/>
    </xf>
    <xf numFmtId="172" fontId="56" fillId="25" borderId="17" xfId="2" applyNumberFormat="1" applyFont="1" applyFill="1" applyBorder="1" applyAlignment="1">
      <alignment horizontal="center" vertical="center"/>
    </xf>
    <xf numFmtId="164" fontId="56" fillId="24" borderId="17" xfId="2" applyNumberFormat="1" applyFont="1" applyFill="1" applyBorder="1" applyAlignment="1">
      <alignment horizontal="center" vertical="center"/>
    </xf>
    <xf numFmtId="164" fontId="56" fillId="25" borderId="17" xfId="2" applyNumberFormat="1" applyFont="1" applyFill="1" applyBorder="1" applyAlignment="1">
      <alignment horizontal="center" vertical="center"/>
    </xf>
    <xf numFmtId="164" fontId="56" fillId="26" borderId="17" xfId="2" applyNumberFormat="1" applyFont="1" applyFill="1" applyBorder="1" applyAlignment="1">
      <alignment horizontal="center" vertical="center"/>
    </xf>
    <xf numFmtId="10" fontId="58" fillId="0" borderId="0" xfId="3" applyNumberFormat="1" applyFont="1" applyAlignment="1">
      <alignment horizontal="center" vertical="center"/>
    </xf>
    <xf numFmtId="0" fontId="69" fillId="0" borderId="0" xfId="3" applyFont="1" applyAlignment="1">
      <alignment horizontal="center" vertical="center"/>
    </xf>
    <xf numFmtId="0" fontId="68" fillId="0" borderId="0" xfId="3" applyFont="1" applyAlignment="1">
      <alignment horizontal="center" vertical="center"/>
    </xf>
    <xf numFmtId="0" fontId="2" fillId="0" borderId="0" xfId="3" applyAlignment="1">
      <alignment vertical="top"/>
    </xf>
    <xf numFmtId="0" fontId="7" fillId="4" borderId="10" xfId="0" applyFont="1" applyFill="1" applyBorder="1" applyAlignment="1">
      <alignment horizontal="center" vertical="top"/>
    </xf>
    <xf numFmtId="172" fontId="0" fillId="0" borderId="3" xfId="0" applyNumberFormat="1" applyBorder="1" applyAlignment="1">
      <alignment horizontal="center" vertical="center"/>
    </xf>
    <xf numFmtId="164" fontId="7" fillId="0" borderId="3" xfId="0" applyNumberFormat="1" applyFont="1" applyBorder="1" applyAlignment="1">
      <alignment horizontal="center" vertical="top"/>
    </xf>
    <xf numFmtId="0" fontId="70" fillId="8" borderId="11" xfId="2" applyFont="1" applyFill="1" applyBorder="1" applyAlignment="1">
      <alignment horizontal="center" vertical="center"/>
    </xf>
    <xf numFmtId="0" fontId="8" fillId="6" borderId="6" xfId="0" applyFont="1" applyFill="1" applyBorder="1" applyAlignment="1">
      <alignment horizontal="center" vertical="center"/>
    </xf>
    <xf numFmtId="172" fontId="0" fillId="0" borderId="0" xfId="0" applyNumberFormat="1" applyAlignment="1">
      <alignment horizontal="center" vertical="center"/>
    </xf>
    <xf numFmtId="0" fontId="71" fillId="7" borderId="0" xfId="0" applyFont="1" applyFill="1"/>
    <xf numFmtId="172" fontId="58" fillId="0" borderId="3" xfId="0" applyNumberFormat="1" applyFont="1" applyBorder="1" applyAlignment="1">
      <alignment horizontal="center" vertical="center"/>
    </xf>
    <xf numFmtId="9" fontId="3" fillId="0" borderId="20" xfId="0" applyNumberFormat="1" applyFont="1" applyBorder="1" applyAlignment="1">
      <alignment horizontal="center" vertical="center"/>
    </xf>
    <xf numFmtId="0" fontId="10" fillId="6" borderId="3" xfId="0" applyFont="1" applyFill="1" applyBorder="1" applyAlignment="1">
      <alignment horizontal="center" vertical="center"/>
    </xf>
    <xf numFmtId="0" fontId="66" fillId="6" borderId="3" xfId="0" applyFont="1" applyFill="1" applyBorder="1" applyAlignment="1">
      <alignment horizontal="center" vertical="center"/>
    </xf>
    <xf numFmtId="0" fontId="8" fillId="23" borderId="5" xfId="0" applyFont="1" applyFill="1" applyBorder="1" applyAlignment="1">
      <alignment horizontal="center"/>
    </xf>
    <xf numFmtId="169" fontId="38" fillId="27" borderId="17" xfId="0" applyNumberFormat="1" applyFont="1" applyFill="1" applyBorder="1" applyAlignment="1">
      <alignment horizontal="center" vertical="center"/>
    </xf>
    <xf numFmtId="172" fontId="48" fillId="0" borderId="17" xfId="0" applyNumberFormat="1" applyFont="1" applyBorder="1" applyAlignment="1">
      <alignment horizontal="center" vertical="center"/>
    </xf>
    <xf numFmtId="173" fontId="58" fillId="0" borderId="17" xfId="0" applyNumberFormat="1" applyFont="1" applyBorder="1" applyAlignment="1">
      <alignment horizontal="center" vertical="center"/>
    </xf>
    <xf numFmtId="172" fontId="37" fillId="9" borderId="3" xfId="2" applyNumberFormat="1" applyFont="1" applyFill="1" applyBorder="1" applyAlignment="1">
      <alignment horizontal="center" vertical="center"/>
    </xf>
    <xf numFmtId="172" fontId="36" fillId="0" borderId="3" xfId="2" applyNumberFormat="1" applyFont="1" applyBorder="1" applyAlignment="1">
      <alignment horizontal="center" vertical="top"/>
    </xf>
    <xf numFmtId="9" fontId="58" fillId="0" borderId="6" xfId="0" applyNumberFormat="1" applyFont="1" applyBorder="1" applyAlignment="1">
      <alignment horizontal="center" vertical="center"/>
    </xf>
    <xf numFmtId="9" fontId="67" fillId="13" borderId="7" xfId="0" applyNumberFormat="1" applyFont="1" applyFill="1" applyBorder="1" applyAlignment="1">
      <alignment horizontal="center" vertical="center"/>
    </xf>
    <xf numFmtId="0" fontId="0" fillId="14" borderId="21" xfId="0" applyFill="1" applyBorder="1" applyAlignment="1">
      <alignment horizontal="center"/>
    </xf>
    <xf numFmtId="0" fontId="46" fillId="7" borderId="0" xfId="0" applyFont="1" applyFill="1" applyAlignment="1">
      <alignment horizontal="right" vertical="center"/>
    </xf>
    <xf numFmtId="9" fontId="8" fillId="9" borderId="0" xfId="0" applyNumberFormat="1" applyFont="1" applyFill="1" applyAlignment="1">
      <alignment horizontal="center"/>
    </xf>
    <xf numFmtId="0" fontId="65" fillId="28" borderId="0" xfId="3" applyFont="1" applyFill="1" applyAlignment="1">
      <alignment horizontal="center"/>
    </xf>
    <xf numFmtId="0" fontId="65" fillId="28" borderId="0" xfId="3" applyFont="1" applyFill="1" applyAlignment="1">
      <alignment horizontal="center" vertical="center"/>
    </xf>
    <xf numFmtId="0" fontId="0" fillId="0" borderId="3" xfId="0" applyBorder="1" applyAlignment="1">
      <alignment horizontal="center" vertical="center"/>
    </xf>
    <xf numFmtId="0" fontId="65" fillId="5" borderId="0" xfId="3" applyFont="1" applyFill="1" applyAlignment="1">
      <alignment vertical="center"/>
    </xf>
    <xf numFmtId="0" fontId="2" fillId="5" borderId="0" xfId="3" applyFill="1" applyAlignment="1">
      <alignment vertical="center"/>
    </xf>
    <xf numFmtId="164" fontId="8" fillId="9" borderId="13" xfId="0" applyNumberFormat="1" applyFont="1" applyFill="1" applyBorder="1" applyAlignment="1">
      <alignment horizontal="center" vertical="center"/>
    </xf>
    <xf numFmtId="164" fontId="7" fillId="0" borderId="6" xfId="0" applyNumberFormat="1" applyFont="1" applyBorder="1" applyAlignment="1">
      <alignment horizontal="center" vertical="top"/>
    </xf>
    <xf numFmtId="9" fontId="8" fillId="9" borderId="7" xfId="0" applyNumberFormat="1" applyFont="1" applyFill="1" applyBorder="1" applyAlignment="1">
      <alignment horizontal="center" vertical="center"/>
    </xf>
    <xf numFmtId="169" fontId="60" fillId="0" borderId="0" xfId="0" applyNumberFormat="1" applyFont="1" applyAlignment="1">
      <alignment horizontal="center" vertical="center"/>
    </xf>
    <xf numFmtId="164" fontId="0" fillId="0" borderId="0" xfId="0" applyNumberFormat="1" applyAlignment="1">
      <alignment horizontal="right" vertical="center"/>
    </xf>
    <xf numFmtId="9" fontId="0" fillId="0" borderId="0" xfId="0" applyNumberFormat="1" applyAlignment="1">
      <alignment horizontal="right"/>
    </xf>
    <xf numFmtId="0" fontId="59" fillId="5" borderId="0" xfId="0" applyFont="1" applyFill="1" applyAlignment="1">
      <alignment horizontal="left"/>
    </xf>
    <xf numFmtId="0" fontId="72" fillId="6" borderId="1" xfId="0" applyFont="1" applyFill="1" applyBorder="1" applyAlignment="1">
      <alignment horizontal="center" vertical="center"/>
    </xf>
    <xf numFmtId="9" fontId="58" fillId="6" borderId="3" xfId="0" applyNumberFormat="1" applyFont="1" applyFill="1" applyBorder="1" applyAlignment="1">
      <alignment horizontal="center" vertical="center"/>
    </xf>
    <xf numFmtId="164" fontId="16" fillId="0" borderId="14" xfId="0" applyNumberFormat="1" applyFont="1" applyBorder="1" applyAlignment="1">
      <alignment horizontal="right" vertical="center"/>
    </xf>
    <xf numFmtId="169" fontId="16" fillId="8" borderId="10" xfId="0" applyNumberFormat="1" applyFont="1" applyFill="1" applyBorder="1" applyAlignment="1">
      <alignment horizontal="right" vertical="center"/>
    </xf>
    <xf numFmtId="9" fontId="0" fillId="5" borderId="0" xfId="0" applyNumberFormat="1" applyFill="1" applyAlignment="1">
      <alignment horizontal="center"/>
    </xf>
    <xf numFmtId="1" fontId="38" fillId="0" borderId="0" xfId="0" applyNumberFormat="1" applyFont="1" applyAlignment="1">
      <alignment horizontal="right"/>
    </xf>
    <xf numFmtId="172" fontId="0" fillId="0" borderId="0" xfId="0" applyNumberFormat="1" applyAlignment="1">
      <alignment vertical="center"/>
    </xf>
    <xf numFmtId="0" fontId="2" fillId="7" borderId="3" xfId="3" applyFill="1" applyBorder="1" applyAlignment="1">
      <alignment horizontal="center" vertical="center"/>
    </xf>
    <xf numFmtId="172" fontId="62" fillId="7" borderId="0" xfId="3" applyNumberFormat="1" applyFont="1" applyFill="1" applyAlignment="1">
      <alignment horizontal="center" vertical="center"/>
    </xf>
    <xf numFmtId="1" fontId="62" fillId="7" borderId="0" xfId="3" applyNumberFormat="1" applyFont="1" applyFill="1" applyAlignment="1">
      <alignment horizontal="center" vertical="center"/>
    </xf>
    <xf numFmtId="0" fontId="2" fillId="7" borderId="0" xfId="3" applyFill="1" applyAlignment="1">
      <alignment vertical="center"/>
    </xf>
    <xf numFmtId="9" fontId="7" fillId="0" borderId="7" xfId="0" applyNumberFormat="1" applyFont="1" applyBorder="1" applyAlignment="1">
      <alignment horizontal="center" vertical="center"/>
    </xf>
    <xf numFmtId="9" fontId="7" fillId="2" borderId="7" xfId="0" applyNumberFormat="1" applyFont="1" applyFill="1" applyBorder="1" applyAlignment="1">
      <alignment horizontal="center" vertical="center"/>
    </xf>
    <xf numFmtId="0" fontId="73" fillId="8" borderId="7" xfId="0" applyFont="1" applyFill="1" applyBorder="1" applyAlignment="1">
      <alignment horizontal="center" vertical="top"/>
    </xf>
    <xf numFmtId="0" fontId="73" fillId="8" borderId="3" xfId="0" applyFont="1" applyFill="1" applyBorder="1" applyAlignment="1">
      <alignment horizontal="center" vertical="top"/>
    </xf>
    <xf numFmtId="169" fontId="0" fillId="0" borderId="0" xfId="0" applyNumberFormat="1"/>
    <xf numFmtId="169" fontId="2" fillId="0" borderId="0" xfId="3" applyNumberFormat="1" applyAlignment="1">
      <alignment vertical="center"/>
    </xf>
    <xf numFmtId="0" fontId="1" fillId="0" borderId="0" xfId="3" applyFont="1" applyAlignment="1">
      <alignment vertical="center"/>
    </xf>
    <xf numFmtId="0" fontId="3" fillId="0" borderId="0" xfId="0" applyFont="1"/>
    <xf numFmtId="0" fontId="3" fillId="0" borderId="0" xfId="0" applyFont="1" applyAlignment="1">
      <alignment horizontal="right" vertical="top"/>
    </xf>
    <xf numFmtId="164" fontId="7" fillId="0" borderId="3" xfId="0" applyNumberFormat="1" applyFont="1" applyBorder="1" applyAlignment="1">
      <alignment vertical="top"/>
    </xf>
    <xf numFmtId="9" fontId="7" fillId="15" borderId="3" xfId="0" applyNumberFormat="1" applyFont="1" applyFill="1" applyBorder="1" applyAlignment="1">
      <alignment vertical="top"/>
    </xf>
    <xf numFmtId="0" fontId="8" fillId="0" borderId="7" xfId="0" applyFont="1" applyBorder="1" applyAlignment="1">
      <alignment horizontal="left" vertical="center"/>
    </xf>
    <xf numFmtId="164" fontId="8" fillId="0" borderId="7" xfId="0" applyNumberFormat="1" applyFont="1" applyBorder="1" applyAlignment="1">
      <alignment vertical="center"/>
    </xf>
    <xf numFmtId="1" fontId="74" fillId="0" borderId="0" xfId="0" applyNumberFormat="1" applyFont="1" applyAlignment="1">
      <alignment vertical="top"/>
    </xf>
    <xf numFmtId="1" fontId="74" fillId="5" borderId="0" xfId="0" applyNumberFormat="1" applyFont="1" applyFill="1" applyAlignment="1">
      <alignment vertical="top"/>
    </xf>
    <xf numFmtId="0" fontId="46" fillId="12" borderId="0" xfId="0" applyFont="1" applyFill="1" applyAlignment="1">
      <alignment horizontal="center" vertical="top"/>
    </xf>
    <xf numFmtId="0" fontId="7" fillId="29" borderId="3" xfId="0" applyFont="1" applyFill="1" applyBorder="1" applyAlignment="1">
      <alignment horizontal="left" vertical="top"/>
    </xf>
    <xf numFmtId="0" fontId="7" fillId="22" borderId="3" xfId="0" applyFont="1" applyFill="1" applyBorder="1" applyAlignment="1">
      <alignment horizontal="left" vertical="top"/>
    </xf>
    <xf numFmtId="0" fontId="38" fillId="0" borderId="8" xfId="0" applyFont="1" applyBorder="1" applyAlignment="1">
      <alignment horizontal="right" vertical="center"/>
    </xf>
    <xf numFmtId="0" fontId="6" fillId="0" borderId="0" xfId="1" applyAlignment="1" applyProtection="1">
      <alignment horizontal="right"/>
    </xf>
    <xf numFmtId="0" fontId="8" fillId="7" borderId="0" xfId="0" applyFont="1" applyFill="1"/>
    <xf numFmtId="0" fontId="16" fillId="0" borderId="0" xfId="0" applyFont="1" applyAlignment="1">
      <alignment horizontal="center"/>
    </xf>
    <xf numFmtId="0" fontId="16" fillId="0" borderId="0" xfId="0" applyFont="1" applyAlignment="1">
      <alignment horizontal="right"/>
    </xf>
    <xf numFmtId="0" fontId="16" fillId="0" borderId="0" xfId="0" applyFont="1" applyAlignment="1">
      <alignment horizontal="right" vertical="center"/>
    </xf>
    <xf numFmtId="0" fontId="57" fillId="5" borderId="3" xfId="3" applyFont="1" applyFill="1" applyBorder="1" applyAlignment="1">
      <alignment horizontal="left" vertical="center"/>
    </xf>
    <xf numFmtId="0" fontId="57" fillId="0" borderId="0" xfId="3" applyFont="1" applyAlignment="1">
      <alignment vertical="center"/>
    </xf>
    <xf numFmtId="0" fontId="75" fillId="0" borderId="0" xfId="0" applyFont="1" applyAlignment="1">
      <alignment horizontal="right"/>
    </xf>
    <xf numFmtId="0" fontId="0" fillId="5" borderId="0" xfId="0" applyFill="1" applyAlignment="1">
      <alignment horizontal="center"/>
    </xf>
    <xf numFmtId="9" fontId="16" fillId="0" borderId="3" xfId="0" applyNumberFormat="1" applyFont="1" applyBorder="1" applyAlignment="1">
      <alignment horizontal="center" vertical="top"/>
    </xf>
    <xf numFmtId="0" fontId="3" fillId="5" borderId="0" xfId="0" applyFont="1" applyFill="1"/>
    <xf numFmtId="9" fontId="59" fillId="0" borderId="0" xfId="0" applyNumberFormat="1" applyFont="1" applyAlignment="1">
      <alignment vertical="center"/>
    </xf>
    <xf numFmtId="172" fontId="7" fillId="30" borderId="3" xfId="0" applyNumberFormat="1" applyFont="1" applyFill="1" applyBorder="1" applyAlignment="1">
      <alignment horizontal="center" vertical="top"/>
    </xf>
    <xf numFmtId="0" fontId="76" fillId="4" borderId="3" xfId="0" applyFont="1" applyFill="1" applyBorder="1" applyAlignment="1">
      <alignment vertical="top" wrapText="1"/>
    </xf>
    <xf numFmtId="0" fontId="7" fillId="7" borderId="0" xfId="0" applyFont="1" applyFill="1" applyAlignment="1">
      <alignment horizontal="left" vertical="center"/>
    </xf>
    <xf numFmtId="0" fontId="15" fillId="0" borderId="22" xfId="0" applyFont="1" applyBorder="1"/>
    <xf numFmtId="1" fontId="0" fillId="10" borderId="23" xfId="0" applyNumberFormat="1" applyFill="1" applyBorder="1"/>
    <xf numFmtId="0" fontId="0" fillId="0" borderId="22" xfId="0" applyBorder="1"/>
    <xf numFmtId="0" fontId="14" fillId="0" borderId="22" xfId="0" applyFont="1" applyBorder="1"/>
    <xf numFmtId="0" fontId="0" fillId="0" borderId="22" xfId="0" applyBorder="1" applyAlignment="1">
      <alignment horizontal="left"/>
    </xf>
    <xf numFmtId="0" fontId="3" fillId="0" borderId="8" xfId="0" applyFont="1" applyBorder="1" applyAlignment="1">
      <alignment vertical="center"/>
    </xf>
    <xf numFmtId="0" fontId="0" fillId="0" borderId="8" xfId="0" applyBorder="1" applyAlignment="1">
      <alignment horizontal="center"/>
    </xf>
    <xf numFmtId="0" fontId="14" fillId="0" borderId="8" xfId="0" applyFont="1" applyBorder="1" applyAlignment="1">
      <alignment horizontal="center"/>
    </xf>
    <xf numFmtId="0" fontId="32" fillId="0" borderId="8" xfId="0" applyFont="1" applyBorder="1" applyAlignment="1">
      <alignment horizontal="left" vertical="center"/>
    </xf>
    <xf numFmtId="0" fontId="33" fillId="0" borderId="8" xfId="0" applyFont="1" applyBorder="1"/>
  </cellXfs>
  <cellStyles count="4">
    <cellStyle name="Hyperlink" xfId="1" builtinId="8"/>
    <cellStyle name="Normal" xfId="0" builtinId="0"/>
    <cellStyle name="Normal 2" xfId="3" xr:uid="{E96E03FB-DBBD-4CC4-92F8-A530A37FB5E0}"/>
    <cellStyle name="Normal_Estimater" xfId="2" xr:uid="{00000000-0005-0000-0000-000002000000}"/>
  </cellStyles>
  <dxfs count="93">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fill>
        <patternFill>
          <bgColor indexed="47"/>
        </patternFill>
      </fill>
    </dxf>
    <dxf>
      <font>
        <condense val="0"/>
        <extend val="0"/>
        <color indexed="9"/>
      </font>
      <fill>
        <patternFill>
          <bgColor indexed="53"/>
        </patternFill>
      </fill>
    </dxf>
    <dxf>
      <font>
        <b/>
        <i val="0"/>
        <condense val="0"/>
        <extend val="0"/>
        <color indexed="9"/>
      </font>
      <fill>
        <patternFill>
          <bgColor indexed="10"/>
        </patternFill>
      </fill>
    </dxf>
    <dxf>
      <fill>
        <patternFill>
          <bgColor theme="0" tint="-4.9989318521683403E-2"/>
        </patternFill>
      </fill>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numFmt numFmtId="3" formatCode="#,##0"/>
    </dxf>
    <dxf>
      <numFmt numFmtId="164" formatCode="#,##0.0"/>
    </dxf>
    <dxf>
      <numFmt numFmtId="4" formatCode="#,##0.00"/>
    </dxf>
    <dxf>
      <font>
        <b/>
        <i val="0"/>
        <color rgb="FF008000"/>
      </font>
    </dxf>
    <dxf>
      <font>
        <b/>
        <i val="0"/>
        <color rgb="FFFF0000"/>
      </font>
    </dxf>
    <dxf>
      <numFmt numFmtId="3" formatCode="#,##0"/>
    </dxf>
    <dxf>
      <numFmt numFmtId="164" formatCode="#,##0.0"/>
    </dxf>
    <dxf>
      <numFmt numFmtId="4" formatCode="#,##0.00"/>
    </dxf>
    <dxf>
      <numFmt numFmtId="3" formatCode="#,##0"/>
    </dxf>
    <dxf>
      <numFmt numFmtId="164" formatCode="#,##0.0"/>
    </dxf>
    <dxf>
      <numFmt numFmtId="4" formatCode="#,##0.00"/>
    </dxf>
    <dxf>
      <font>
        <condense val="0"/>
        <extend val="0"/>
        <color indexed="9"/>
      </font>
      <fill>
        <patternFill>
          <bgColor indexed="53"/>
        </patternFill>
      </fill>
    </dxf>
    <dxf>
      <numFmt numFmtId="3" formatCode="#,##0"/>
    </dxf>
    <dxf>
      <numFmt numFmtId="164" formatCode="#,##0.0"/>
    </dxf>
    <dxf>
      <numFmt numFmtId="4" formatCode="#,##0.00"/>
    </dxf>
    <dxf>
      <font>
        <condense val="0"/>
        <extend val="0"/>
        <color indexed="9"/>
      </font>
      <fill>
        <patternFill>
          <bgColor indexed="53"/>
        </patternFill>
      </fill>
    </dxf>
    <dxf>
      <numFmt numFmtId="3" formatCode="#,##0"/>
    </dxf>
    <dxf>
      <numFmt numFmtId="164" formatCode="#,##0.0"/>
    </dxf>
    <dxf>
      <numFmt numFmtId="4" formatCode="#,##0.00"/>
    </dxf>
    <dxf>
      <font>
        <condense val="0"/>
        <extend val="0"/>
        <color indexed="9"/>
      </font>
      <fill>
        <patternFill>
          <bgColor indexed="53"/>
        </patternFill>
      </fill>
    </dxf>
  </dxfs>
  <tableStyles count="0" defaultTableStyle="TableStyleMedium2" defaultPivotStyle="PivotStyleLight16"/>
  <colors>
    <mruColors>
      <color rgb="FF0000FF"/>
      <color rgb="FFFFE2C5"/>
      <color rgb="FFFFCC99"/>
      <color rgb="FFCCFFCC"/>
      <color rgb="FF99FFCC"/>
      <color rgb="FF249074"/>
      <color rgb="FF66FFFF"/>
      <color rgb="FFCC5F50"/>
      <color rgb="FF004C79"/>
      <color rgb="FF2AAA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6.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sz="1200" baseline="0">
                <a:solidFill>
                  <a:schemeClr val="tx1"/>
                </a:solidFill>
              </a:defRPr>
            </a:pPr>
            <a:r>
              <a:rPr lang="da-DK" sz="1200" baseline="0">
                <a:solidFill>
                  <a:schemeClr val="tx1"/>
                </a:solidFill>
              </a:rPr>
              <a:t>Top10 Budget Elementer</a:t>
            </a:r>
          </a:p>
        </c:rich>
      </c:tx>
      <c:layout>
        <c:manualLayout>
          <c:xMode val="edge"/>
          <c:yMode val="edge"/>
          <c:x val="0.70411351948165168"/>
          <c:y val="0.20067467731787761"/>
        </c:manualLayout>
      </c:layout>
      <c:overlay val="0"/>
    </c:title>
    <c:autoTitleDeleted val="0"/>
    <c:plotArea>
      <c:layout>
        <c:manualLayout>
          <c:layoutTarget val="inner"/>
          <c:xMode val="edge"/>
          <c:yMode val="edge"/>
          <c:x val="0.15073181102362204"/>
          <c:y val="0.21253495212956336"/>
          <c:w val="0.44014036269075424"/>
          <c:h val="0.71889596211779228"/>
        </c:manualLayout>
      </c:layout>
      <c:pieChart>
        <c:varyColors val="1"/>
        <c:ser>
          <c:idx val="0"/>
          <c:order val="0"/>
          <c:explosion val="9"/>
          <c:dPt>
            <c:idx val="0"/>
            <c:bubble3D val="0"/>
            <c:extLst>
              <c:ext xmlns:c16="http://schemas.microsoft.com/office/drawing/2014/chart" uri="{C3380CC4-5D6E-409C-BE32-E72D297353CC}">
                <c16:uniqueId val="{00000000-D25E-4CD0-848C-69FBF3CD01AD}"/>
              </c:ext>
            </c:extLst>
          </c:dPt>
          <c:dPt>
            <c:idx val="1"/>
            <c:bubble3D val="0"/>
            <c:extLst>
              <c:ext xmlns:c16="http://schemas.microsoft.com/office/drawing/2014/chart" uri="{C3380CC4-5D6E-409C-BE32-E72D297353CC}">
                <c16:uniqueId val="{00000001-D25E-4CD0-848C-69FBF3CD01AD}"/>
              </c:ext>
            </c:extLst>
          </c:dPt>
          <c:dPt>
            <c:idx val="2"/>
            <c:bubble3D val="0"/>
            <c:extLst>
              <c:ext xmlns:c16="http://schemas.microsoft.com/office/drawing/2014/chart" uri="{C3380CC4-5D6E-409C-BE32-E72D297353CC}">
                <c16:uniqueId val="{00000002-D25E-4CD0-848C-69FBF3CD01AD}"/>
              </c:ext>
            </c:extLst>
          </c:dPt>
          <c:dPt>
            <c:idx val="3"/>
            <c:bubble3D val="0"/>
            <c:extLst>
              <c:ext xmlns:c16="http://schemas.microsoft.com/office/drawing/2014/chart" uri="{C3380CC4-5D6E-409C-BE32-E72D297353CC}">
                <c16:uniqueId val="{00000003-D25E-4CD0-848C-69FBF3CD01AD}"/>
              </c:ext>
            </c:extLst>
          </c:dPt>
          <c:dPt>
            <c:idx val="4"/>
            <c:bubble3D val="0"/>
            <c:extLst>
              <c:ext xmlns:c16="http://schemas.microsoft.com/office/drawing/2014/chart" uri="{C3380CC4-5D6E-409C-BE32-E72D297353CC}">
                <c16:uniqueId val="{00000004-D25E-4CD0-848C-69FBF3CD01AD}"/>
              </c:ext>
            </c:extLst>
          </c:dPt>
          <c:dPt>
            <c:idx val="5"/>
            <c:bubble3D val="0"/>
            <c:extLst>
              <c:ext xmlns:c16="http://schemas.microsoft.com/office/drawing/2014/chart" uri="{C3380CC4-5D6E-409C-BE32-E72D297353CC}">
                <c16:uniqueId val="{00000005-D25E-4CD0-848C-69FBF3CD01AD}"/>
              </c:ext>
            </c:extLst>
          </c:dPt>
          <c:dLbls>
            <c:numFmt formatCode="#,##0.0" sourceLinked="0"/>
            <c:spPr>
              <a:noFill/>
              <a:ln>
                <a:noFill/>
              </a:ln>
              <a:effectLst/>
            </c:spPr>
            <c:txPr>
              <a:bodyPr/>
              <a:lstStyle/>
              <a:p>
                <a:pPr>
                  <a:defRPr sz="800" baseline="0">
                    <a:solidFill>
                      <a:schemeClr val="tx1"/>
                    </a:solidFill>
                  </a:defRPr>
                </a:pPr>
                <a:endParaRPr lang="en-DK"/>
              </a:p>
            </c:txPr>
            <c:showLegendKey val="0"/>
            <c:showVal val="1"/>
            <c:showCatName val="1"/>
            <c:showSerName val="0"/>
            <c:showPercent val="0"/>
            <c:showBubbleSize val="0"/>
            <c:showLeaderLines val="1"/>
            <c:extLst>
              <c:ext xmlns:c15="http://schemas.microsoft.com/office/drawing/2012/chart" uri="{CE6537A1-D6FC-4f65-9D91-7224C49458BB}"/>
            </c:extLst>
          </c:dLbls>
          <c:cat>
            <c:strRef>
              <c:f>Data!$AS$84:$AS$93</c:f>
              <c:strCache>
                <c:ptCount val="10"/>
                <c:pt idx="0">
                  <c:v>#1: Opg.7: Raw house</c:v>
                </c:pt>
                <c:pt idx="1">
                  <c:v>#2: Opg.5: Accommodation</c:v>
                </c:pt>
                <c:pt idx="2">
                  <c:v>#3: Opg.12: Other</c:v>
                </c:pt>
                <c:pt idx="3">
                  <c:v>#4: Opg.4: Installations</c:v>
                </c:pt>
                <c:pt idx="4">
                  <c:v>#5: Opg.8: Building site</c:v>
                </c:pt>
                <c:pt idx="5">
                  <c:v>#6: G.U.4: Req. &amp; quality control</c:v>
                </c:pt>
                <c:pt idx="6">
                  <c:v>#7: Opg.4: Land purchase</c:v>
                </c:pt>
                <c:pt idx="7">
                  <c:v>#8: G.U.2: Geographic index</c:v>
                </c:pt>
                <c:pt idx="8">
                  <c:v>#9: G.U.6: External conditions</c:v>
                </c:pt>
                <c:pt idx="9">
                  <c:v>#10: Opg.9: Demolition</c:v>
                </c:pt>
              </c:strCache>
            </c:strRef>
          </c:cat>
          <c:val>
            <c:numRef>
              <c:f>Data!$AQ$84:$AQ$93</c:f>
              <c:numCache>
                <c:formatCode>0.0</c:formatCode>
                <c:ptCount val="10"/>
                <c:pt idx="0">
                  <c:v>118.35535618089109</c:v>
                </c:pt>
                <c:pt idx="1">
                  <c:v>55.232499551082505</c:v>
                </c:pt>
                <c:pt idx="2">
                  <c:v>51.85091794591419</c:v>
                </c:pt>
                <c:pt idx="3">
                  <c:v>45.087754735577555</c:v>
                </c:pt>
                <c:pt idx="4">
                  <c:v>37.197397656851486</c:v>
                </c:pt>
                <c:pt idx="5">
                  <c:v>21.41668349939934</c:v>
                </c:pt>
                <c:pt idx="6">
                  <c:v>20.2894896310099</c:v>
                </c:pt>
                <c:pt idx="7">
                  <c:v>19.162295762620463</c:v>
                </c:pt>
                <c:pt idx="8">
                  <c:v>18.035101894231023</c:v>
                </c:pt>
                <c:pt idx="9">
                  <c:v>15.780714157452145</c:v>
                </c:pt>
              </c:numCache>
            </c:numRef>
          </c:val>
          <c:extLst>
            <c:ext xmlns:c16="http://schemas.microsoft.com/office/drawing/2014/chart" uri="{C3380CC4-5D6E-409C-BE32-E72D297353CC}">
              <c16:uniqueId val="{00000006-D25E-4CD0-848C-69FBF3CD01AD}"/>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7117950431472817"/>
          <c:y val="0.2719492955329737"/>
          <c:w val="0.32575464566929135"/>
          <c:h val="0.62257688065864736"/>
        </c:manualLayout>
      </c:layout>
      <c:overlay val="0"/>
      <c:txPr>
        <a:bodyPr/>
        <a:lstStyle/>
        <a:p>
          <a:pPr>
            <a:defRPr sz="800" baseline="0">
              <a:solidFill>
                <a:schemeClr val="tx1"/>
              </a:solidFill>
            </a:defRPr>
          </a:pPr>
          <a:endParaRPr lang="en-DK"/>
        </a:p>
      </c:txPr>
    </c:legend>
    <c:plotVisOnly val="0"/>
    <c:dispBlanksAs val="zero"/>
    <c:showDLblsOverMax val="0"/>
  </c:chart>
  <c:spPr>
    <a:solidFill>
      <a:schemeClr val="tx2">
        <a:lumMod val="40000"/>
        <a:lumOff val="60000"/>
      </a:schemeClr>
    </a:solidFill>
    <a:ln>
      <a:solidFill>
        <a:schemeClr val="accent1"/>
      </a:solidFill>
    </a:ln>
  </c:spPr>
  <c:printSettings>
    <c:headerFooter/>
    <c:pageMargins b="0.75" l="0.7" r="0.7" t="0.75"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Plot!$C$54</c:f>
          <c:strCache>
            <c:ptCount val="1"/>
            <c:pt idx="0">
              <c:v>General Uncertainties &amp; Tasks</c:v>
            </c:pt>
          </c:strCache>
        </c:strRef>
      </c:tx>
      <c:layout>
        <c:manualLayout>
          <c:xMode val="edge"/>
          <c:yMode val="edge"/>
          <c:x val="0.30094048168820375"/>
          <c:y val="5.4328359485917486E-2"/>
        </c:manualLayout>
      </c:layout>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Roboto" panose="02000000000000000000" pitchFamily="2" charset="0"/>
              <a:ea typeface="Roboto" panose="02000000000000000000" pitchFamily="2" charset="0"/>
              <a:cs typeface="+mn-cs"/>
            </a:defRPr>
          </a:pPr>
          <a:endParaRPr lang="en-DK"/>
        </a:p>
      </c:txPr>
    </c:title>
    <c:autoTitleDeleted val="0"/>
    <c:plotArea>
      <c:layout>
        <c:manualLayout>
          <c:layoutTarget val="inner"/>
          <c:xMode val="edge"/>
          <c:yMode val="edge"/>
          <c:x val="2.9086230968656993E-2"/>
          <c:y val="0.13187628317357175"/>
          <c:w val="0.94783619192616031"/>
          <c:h val="0.80257745452056539"/>
        </c:manualLayout>
      </c:layout>
      <c:scatterChart>
        <c:scatterStyle val="lineMarker"/>
        <c:varyColors val="0"/>
        <c:ser>
          <c:idx val="0"/>
          <c:order val="0"/>
          <c:tx>
            <c:strRef>
              <c:f>Plot!$F$4</c:f>
              <c:strCache>
                <c:ptCount val="1"/>
                <c:pt idx="0">
                  <c:v>Min</c:v>
                </c:pt>
              </c:strCache>
            </c:strRef>
          </c:tx>
          <c:spPr>
            <a:ln w="25400" cap="rnd">
              <a:noFill/>
              <a:round/>
            </a:ln>
            <a:effectLst/>
          </c:spPr>
          <c:marker>
            <c:symbol val="circle"/>
            <c:size val="5"/>
            <c:spPr>
              <a:solidFill>
                <a:schemeClr val="accent1"/>
              </a:solidFill>
              <a:ln w="9525">
                <a:solidFill>
                  <a:schemeClr val="accent1"/>
                </a:solidFill>
              </a:ln>
              <a:effectLst/>
            </c:spPr>
          </c:marker>
          <c:dLbls>
            <c:dLbl>
              <c:idx val="0"/>
              <c:tx>
                <c:rich>
                  <a:bodyPr/>
                  <a:lstStyle/>
                  <a:p>
                    <a:fld id="{E606CDDC-4139-4D59-A266-C46D57C3977F}" type="CELLRANGE">
                      <a:rPr lang="en-US"/>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C020-4B45-8866-940C11FBE1B5}"/>
                </c:ext>
              </c:extLst>
            </c:dLbl>
            <c:dLbl>
              <c:idx val="1"/>
              <c:tx>
                <c:rich>
                  <a:bodyPr/>
                  <a:lstStyle/>
                  <a:p>
                    <a:fld id="{74B39C2F-0FE1-4A59-B785-FF0E297E9A98}"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020-4B45-8866-940C11FBE1B5}"/>
                </c:ext>
              </c:extLst>
            </c:dLbl>
            <c:dLbl>
              <c:idx val="2"/>
              <c:tx>
                <c:rich>
                  <a:bodyPr/>
                  <a:lstStyle/>
                  <a:p>
                    <a:fld id="{304F4111-75B8-4EA0-A4A4-722367007CEA}"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020-4B45-8866-940C11FBE1B5}"/>
                </c:ext>
              </c:extLst>
            </c:dLbl>
            <c:dLbl>
              <c:idx val="3"/>
              <c:tx>
                <c:rich>
                  <a:bodyPr/>
                  <a:lstStyle/>
                  <a:p>
                    <a:fld id="{8B602411-45EA-4558-AF46-1F31C4883CD4}"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020-4B45-8866-940C11FBE1B5}"/>
                </c:ext>
              </c:extLst>
            </c:dLbl>
            <c:dLbl>
              <c:idx val="4"/>
              <c:tx>
                <c:rich>
                  <a:bodyPr/>
                  <a:lstStyle/>
                  <a:p>
                    <a:fld id="{31C1FE77-31F8-4500-BFD5-5C0A9487A2F7}"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020-4B45-8866-940C11FBE1B5}"/>
                </c:ext>
              </c:extLst>
            </c:dLbl>
            <c:dLbl>
              <c:idx val="5"/>
              <c:tx>
                <c:rich>
                  <a:bodyPr/>
                  <a:lstStyle/>
                  <a:p>
                    <a:fld id="{ABDD3F44-FB86-4315-8DCD-0F6D17781E90}"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C020-4B45-8866-940C11FBE1B5}"/>
                </c:ext>
              </c:extLst>
            </c:dLbl>
            <c:dLbl>
              <c:idx val="6"/>
              <c:tx>
                <c:rich>
                  <a:bodyPr/>
                  <a:lstStyle/>
                  <a:p>
                    <a:fld id="{C65DC965-CF68-4E16-A34D-D2FDE413D434}"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C020-4B45-8866-940C11FBE1B5}"/>
                </c:ext>
              </c:extLst>
            </c:dLbl>
            <c:dLbl>
              <c:idx val="7"/>
              <c:tx>
                <c:rich>
                  <a:bodyPr/>
                  <a:lstStyle/>
                  <a:p>
                    <a:fld id="{AB761DF3-07DD-4FBA-AA19-3842310CA388}"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C020-4B45-8866-940C11FBE1B5}"/>
                </c:ext>
              </c:extLst>
            </c:dLbl>
            <c:dLbl>
              <c:idx val="8"/>
              <c:tx>
                <c:rich>
                  <a:bodyPr/>
                  <a:lstStyle/>
                  <a:p>
                    <a:fld id="{11D4723C-0317-46D9-8396-8F7E56A36A3A}"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C020-4B45-8866-940C11FBE1B5}"/>
                </c:ext>
              </c:extLst>
            </c:dLbl>
            <c:dLbl>
              <c:idx val="9"/>
              <c:tx>
                <c:rich>
                  <a:bodyPr/>
                  <a:lstStyle/>
                  <a:p>
                    <a:fld id="{9194E945-2102-44A7-A16B-E4F947CBC74E}"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C020-4B45-8866-940C11FBE1B5}"/>
                </c:ext>
              </c:extLst>
            </c:dLbl>
            <c:dLbl>
              <c:idx val="10"/>
              <c:tx>
                <c:rich>
                  <a:bodyPr/>
                  <a:lstStyle/>
                  <a:p>
                    <a:fld id="{8B727896-2657-401D-9FA5-3FB085C146DC}"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C020-4B45-8866-940C11FBE1B5}"/>
                </c:ext>
              </c:extLst>
            </c:dLbl>
            <c:dLbl>
              <c:idx val="11"/>
              <c:tx>
                <c:rich>
                  <a:bodyPr/>
                  <a:lstStyle/>
                  <a:p>
                    <a:fld id="{A8FAF22D-1C79-4489-BA4C-5F14DD8B9128}"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C020-4B45-8866-940C11FBE1B5}"/>
                </c:ext>
              </c:extLst>
            </c:dLbl>
            <c:dLbl>
              <c:idx val="12"/>
              <c:tx>
                <c:rich>
                  <a:bodyPr/>
                  <a:lstStyle/>
                  <a:p>
                    <a:fld id="{A7A23482-4A3C-43E0-8270-15F167D69F35}"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C020-4B45-8866-940C11FBE1B5}"/>
                </c:ext>
              </c:extLst>
            </c:dLbl>
            <c:dLbl>
              <c:idx val="13"/>
              <c:tx>
                <c:rich>
                  <a:bodyPr/>
                  <a:lstStyle/>
                  <a:p>
                    <a:fld id="{D6095CA9-3F1B-4A52-8EA6-A4092CC0B651}"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C020-4B45-8866-940C11FBE1B5}"/>
                </c:ext>
              </c:extLst>
            </c:dLbl>
            <c:dLbl>
              <c:idx val="14"/>
              <c:tx>
                <c:rich>
                  <a:bodyPr/>
                  <a:lstStyle/>
                  <a:p>
                    <a:fld id="{09CE25E6-9111-45A6-8614-823AA3D88BD3}"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C020-4B45-8866-940C11FBE1B5}"/>
                </c:ext>
              </c:extLst>
            </c:dLbl>
            <c:dLbl>
              <c:idx val="15"/>
              <c:tx>
                <c:rich>
                  <a:bodyPr/>
                  <a:lstStyle/>
                  <a:p>
                    <a:fld id="{0EBBCC26-4100-4974-81CE-FF14BC576D69}"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C020-4B45-8866-940C11FBE1B5}"/>
                </c:ext>
              </c:extLst>
            </c:dLbl>
            <c:dLbl>
              <c:idx val="16"/>
              <c:tx>
                <c:rich>
                  <a:bodyPr/>
                  <a:lstStyle/>
                  <a:p>
                    <a:fld id="{52154FD8-54CE-441E-8171-5B09CFB22AFA}"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C020-4B45-8866-940C11FBE1B5}"/>
                </c:ext>
              </c:extLst>
            </c:dLbl>
            <c:dLbl>
              <c:idx val="17"/>
              <c:tx>
                <c:rich>
                  <a:bodyPr/>
                  <a:lstStyle/>
                  <a:p>
                    <a:fld id="{AD69CB35-DA55-4686-9C53-36EF320D654D}"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C020-4B45-8866-940C11FBE1B5}"/>
                </c:ext>
              </c:extLst>
            </c:dLbl>
            <c:dLbl>
              <c:idx val="18"/>
              <c:tx>
                <c:rich>
                  <a:bodyPr/>
                  <a:lstStyle/>
                  <a:p>
                    <a:fld id="{51C91672-CA54-4727-9D29-9FB58DB997F9}"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C020-4B45-8866-940C11FBE1B5}"/>
                </c:ext>
              </c:extLst>
            </c:dLbl>
            <c:dLbl>
              <c:idx val="19"/>
              <c:tx>
                <c:rich>
                  <a:bodyPr/>
                  <a:lstStyle/>
                  <a:p>
                    <a:fld id="{A363591E-26F1-4499-AE18-A8450D677E59}"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C020-4B45-8866-940C11FBE1B5}"/>
                </c:ext>
              </c:extLst>
            </c:dLbl>
            <c:dLbl>
              <c:idx val="20"/>
              <c:tx>
                <c:rich>
                  <a:bodyPr/>
                  <a:lstStyle/>
                  <a:p>
                    <a:fld id="{A0BDA500-52F3-4216-BBE2-6D2F95B96CB1}"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8-C020-4B45-8866-940C11FBE1B5}"/>
                </c:ext>
              </c:extLst>
            </c:dLbl>
            <c:dLbl>
              <c:idx val="21"/>
              <c:tx>
                <c:rich>
                  <a:bodyPr/>
                  <a:lstStyle/>
                  <a:p>
                    <a:fld id="{6980C98A-A847-4F9F-B587-E65CB0432598}"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9-C020-4B45-8866-940C11FBE1B5}"/>
                </c:ext>
              </c:extLst>
            </c:dLbl>
            <c:dLbl>
              <c:idx val="22"/>
              <c:tx>
                <c:rich>
                  <a:bodyPr/>
                  <a:lstStyle/>
                  <a:p>
                    <a:fld id="{1C99B2F4-7014-4C5E-9E0D-9D62B199796B}"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A-C020-4B45-8866-940C11FBE1B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DK"/>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Plot!$E$5:$E$27</c:f>
              <c:numCache>
                <c:formatCode>#,##0.0_ ;[Red]\-#,##0.0\ </c:formatCode>
                <c:ptCount val="23"/>
                <c:pt idx="0">
                  <c:v>14</c:v>
                </c:pt>
                <c:pt idx="1">
                  <c:v>33</c:v>
                </c:pt>
                <c:pt idx="2">
                  <c:v>105</c:v>
                </c:pt>
                <c:pt idx="3">
                  <c:v>10.199999999999999</c:v>
                </c:pt>
                <c:pt idx="4">
                  <c:v>49</c:v>
                </c:pt>
                <c:pt idx="5">
                  <c:v>40</c:v>
                </c:pt>
                <c:pt idx="6">
                  <c:v>11.8</c:v>
                </c:pt>
                <c:pt idx="7">
                  <c:v>13.281499999999999</c:v>
                </c:pt>
                <c:pt idx="8">
                  <c:v>6.7065000000000001</c:v>
                </c:pt>
                <c:pt idx="9">
                  <c:v>1.3412999999999999</c:v>
                </c:pt>
                <c:pt idx="10">
                  <c:v>1.3412999999999999</c:v>
                </c:pt>
                <c:pt idx="11">
                  <c:v>18</c:v>
                </c:pt>
                <c:pt idx="12">
                  <c:v>2</c:v>
                </c:pt>
                <c:pt idx="13">
                  <c:v>4.8</c:v>
                </c:pt>
                <c:pt idx="14">
                  <c:v>2.2000000000000002</c:v>
                </c:pt>
                <c:pt idx="15">
                  <c:v>2.1</c:v>
                </c:pt>
                <c:pt idx="16">
                  <c:v>1.08</c:v>
                </c:pt>
                <c:pt idx="17">
                  <c:v>1</c:v>
                </c:pt>
                <c:pt idx="18">
                  <c:v>8.0796903000000011</c:v>
                </c:pt>
                <c:pt idx="19">
                  <c:v>46</c:v>
                </c:pt>
                <c:pt idx="20">
                  <c:v>2.5299999999999998</c:v>
                </c:pt>
                <c:pt idx="21">
                  <c:v>0</c:v>
                </c:pt>
                <c:pt idx="22">
                  <c:v>0</c:v>
                </c:pt>
              </c:numCache>
            </c:numRef>
          </c:xVal>
          <c:yVal>
            <c:numRef>
              <c:f>Plot!$F$5:$F$27</c:f>
              <c:numCache>
                <c:formatCode>#,##0.0_ ;[Red]\-#,##0.0\ </c:formatCode>
                <c:ptCount val="23"/>
                <c:pt idx="0">
                  <c:v>5</c:v>
                </c:pt>
                <c:pt idx="1">
                  <c:v>25</c:v>
                </c:pt>
                <c:pt idx="2">
                  <c:v>75</c:v>
                </c:pt>
                <c:pt idx="3">
                  <c:v>6</c:v>
                </c:pt>
                <c:pt idx="4">
                  <c:v>10</c:v>
                </c:pt>
                <c:pt idx="5">
                  <c:v>20</c:v>
                </c:pt>
                <c:pt idx="6">
                  <c:v>8</c:v>
                </c:pt>
                <c:pt idx="7">
                  <c:v>10.520000000000001</c:v>
                </c:pt>
                <c:pt idx="8">
                  <c:v>3.9449999999999998</c:v>
                </c:pt>
                <c:pt idx="9">
                  <c:v>0.78899999999999992</c:v>
                </c:pt>
                <c:pt idx="10">
                  <c:v>0.78899999999999992</c:v>
                </c:pt>
                <c:pt idx="11">
                  <c:v>10</c:v>
                </c:pt>
                <c:pt idx="12">
                  <c:v>1</c:v>
                </c:pt>
                <c:pt idx="13">
                  <c:v>1</c:v>
                </c:pt>
                <c:pt idx="14">
                  <c:v>1</c:v>
                </c:pt>
                <c:pt idx="15">
                  <c:v>1.5</c:v>
                </c:pt>
                <c:pt idx="16">
                  <c:v>0.9</c:v>
                </c:pt>
                <c:pt idx="17">
                  <c:v>0.5</c:v>
                </c:pt>
                <c:pt idx="18">
                  <c:v>4.7527590000000002</c:v>
                </c:pt>
                <c:pt idx="19">
                  <c:v>20</c:v>
                </c:pt>
                <c:pt idx="20">
                  <c:v>0.32404215815442194</c:v>
                </c:pt>
                <c:pt idx="21">
                  <c:v>0</c:v>
                </c:pt>
                <c:pt idx="22">
                  <c:v>0</c:v>
                </c:pt>
              </c:numCache>
            </c:numRef>
          </c:yVal>
          <c:smooth val="0"/>
          <c:extLst>
            <c:ext xmlns:c15="http://schemas.microsoft.com/office/drawing/2012/chart" uri="{02D57815-91ED-43cb-92C2-25804820EDAC}">
              <c15:datalabelsRange>
                <c15:f>Plot!$A$5:$A$27</c15:f>
                <c15:dlblRangeCache>
                  <c:ptCount val="23"/>
                  <c:pt idx="0">
                    <c:v>11</c:v>
                  </c:pt>
                  <c:pt idx="1">
                    <c:v>12</c:v>
                  </c:pt>
                  <c:pt idx="2">
                    <c:v>13</c:v>
                  </c:pt>
                  <c:pt idx="3">
                    <c:v>14</c:v>
                  </c:pt>
                  <c:pt idx="4">
                    <c:v>15</c:v>
                  </c:pt>
                  <c:pt idx="5">
                    <c:v>16</c:v>
                  </c:pt>
                  <c:pt idx="6">
                    <c:v>17</c:v>
                  </c:pt>
                  <c:pt idx="7">
                    <c:v>21</c:v>
                  </c:pt>
                  <c:pt idx="8">
                    <c:v>22</c:v>
                  </c:pt>
                  <c:pt idx="9">
                    <c:v>23</c:v>
                  </c:pt>
                  <c:pt idx="10">
                    <c:v>24</c:v>
                  </c:pt>
                  <c:pt idx="11">
                    <c:v>31</c:v>
                  </c:pt>
                  <c:pt idx="12">
                    <c:v>32</c:v>
                  </c:pt>
                  <c:pt idx="13">
                    <c:v>33</c:v>
                  </c:pt>
                  <c:pt idx="14">
                    <c:v>34</c:v>
                  </c:pt>
                  <c:pt idx="15">
                    <c:v>35</c:v>
                  </c:pt>
                  <c:pt idx="16">
                    <c:v>36</c:v>
                  </c:pt>
                  <c:pt idx="17">
                    <c:v>37</c:v>
                  </c:pt>
                  <c:pt idx="18">
                    <c:v>38</c:v>
                  </c:pt>
                  <c:pt idx="19">
                    <c:v>40</c:v>
                  </c:pt>
                  <c:pt idx="20">
                    <c:v>97</c:v>
                  </c:pt>
                  <c:pt idx="21">
                    <c:v>#REF!</c:v>
                  </c:pt>
                  <c:pt idx="22">
                    <c:v>#REF!</c:v>
                  </c:pt>
                </c15:dlblRangeCache>
              </c15:datalabelsRange>
            </c:ext>
            <c:ext xmlns:c16="http://schemas.microsoft.com/office/drawing/2014/chart" uri="{C3380CC4-5D6E-409C-BE32-E72D297353CC}">
              <c16:uniqueId val="{00000014-C020-4B45-8866-940C11FBE1B5}"/>
            </c:ext>
          </c:extLst>
        </c:ser>
        <c:ser>
          <c:idx val="1"/>
          <c:order val="1"/>
          <c:tx>
            <c:strRef>
              <c:f>Plot!$H$4</c:f>
              <c:strCache>
                <c:ptCount val="1"/>
                <c:pt idx="0">
                  <c:v>Max</c:v>
                </c:pt>
              </c:strCache>
            </c:strRef>
          </c:tx>
          <c:spPr>
            <a:ln w="25400" cap="rnd">
              <a:noFill/>
              <a:round/>
            </a:ln>
            <a:effectLst/>
          </c:spPr>
          <c:marker>
            <c:symbol val="circle"/>
            <c:size val="5"/>
            <c:spPr>
              <a:solidFill>
                <a:schemeClr val="accent1"/>
              </a:solidFill>
              <a:ln w="9525">
                <a:solidFill>
                  <a:schemeClr val="accent1"/>
                </a:solidFill>
              </a:ln>
              <a:effectLst/>
            </c:spPr>
          </c:marker>
          <c:xVal>
            <c:numRef>
              <c:f>Plot!$E$5:$E$24</c:f>
              <c:numCache>
                <c:formatCode>#,##0.0_ ;[Red]\-#,##0.0\ </c:formatCode>
                <c:ptCount val="20"/>
                <c:pt idx="0">
                  <c:v>14</c:v>
                </c:pt>
                <c:pt idx="1">
                  <c:v>33</c:v>
                </c:pt>
                <c:pt idx="2">
                  <c:v>105</c:v>
                </c:pt>
                <c:pt idx="3">
                  <c:v>10.199999999999999</c:v>
                </c:pt>
                <c:pt idx="4">
                  <c:v>49</c:v>
                </c:pt>
                <c:pt idx="5">
                  <c:v>40</c:v>
                </c:pt>
                <c:pt idx="6">
                  <c:v>11.8</c:v>
                </c:pt>
                <c:pt idx="7">
                  <c:v>13.281499999999999</c:v>
                </c:pt>
                <c:pt idx="8">
                  <c:v>6.7065000000000001</c:v>
                </c:pt>
                <c:pt idx="9">
                  <c:v>1.3412999999999999</c:v>
                </c:pt>
                <c:pt idx="10">
                  <c:v>1.3412999999999999</c:v>
                </c:pt>
                <c:pt idx="11">
                  <c:v>18</c:v>
                </c:pt>
                <c:pt idx="12">
                  <c:v>2</c:v>
                </c:pt>
                <c:pt idx="13">
                  <c:v>4.8</c:v>
                </c:pt>
                <c:pt idx="14">
                  <c:v>2.2000000000000002</c:v>
                </c:pt>
                <c:pt idx="15">
                  <c:v>2.1</c:v>
                </c:pt>
                <c:pt idx="16">
                  <c:v>1.08</c:v>
                </c:pt>
                <c:pt idx="17">
                  <c:v>1</c:v>
                </c:pt>
                <c:pt idx="18">
                  <c:v>8.0796903000000011</c:v>
                </c:pt>
                <c:pt idx="19">
                  <c:v>46</c:v>
                </c:pt>
              </c:numCache>
            </c:numRef>
          </c:xVal>
          <c:yVal>
            <c:numRef>
              <c:f>Plot!$H$5:$H$24</c:f>
              <c:numCache>
                <c:formatCode>#,##0.0_ ;[Red]\-#,##0.0\ </c:formatCode>
                <c:ptCount val="20"/>
                <c:pt idx="0">
                  <c:v>35</c:v>
                </c:pt>
                <c:pt idx="1">
                  <c:v>50</c:v>
                </c:pt>
                <c:pt idx="2">
                  <c:v>150</c:v>
                </c:pt>
                <c:pt idx="3">
                  <c:v>15</c:v>
                </c:pt>
                <c:pt idx="4">
                  <c:v>100</c:v>
                </c:pt>
                <c:pt idx="5">
                  <c:v>75</c:v>
                </c:pt>
                <c:pt idx="6">
                  <c:v>15</c:v>
                </c:pt>
                <c:pt idx="7">
                  <c:v>16.4375</c:v>
                </c:pt>
                <c:pt idx="8">
                  <c:v>9.8625000000000007</c:v>
                </c:pt>
                <c:pt idx="9">
                  <c:v>1.9724999999999999</c:v>
                </c:pt>
                <c:pt idx="10">
                  <c:v>1.9724999999999999</c:v>
                </c:pt>
                <c:pt idx="11">
                  <c:v>35</c:v>
                </c:pt>
                <c:pt idx="12">
                  <c:v>3</c:v>
                </c:pt>
                <c:pt idx="13">
                  <c:v>8</c:v>
                </c:pt>
                <c:pt idx="14">
                  <c:v>4</c:v>
                </c:pt>
                <c:pt idx="15">
                  <c:v>3</c:v>
                </c:pt>
                <c:pt idx="16">
                  <c:v>1.5</c:v>
                </c:pt>
                <c:pt idx="17">
                  <c:v>1.5</c:v>
                </c:pt>
                <c:pt idx="18">
                  <c:v>11.881897500000001</c:v>
                </c:pt>
                <c:pt idx="19">
                  <c:v>75</c:v>
                </c:pt>
              </c:numCache>
            </c:numRef>
          </c:yVal>
          <c:smooth val="0"/>
          <c:extLst>
            <c:ext xmlns:c16="http://schemas.microsoft.com/office/drawing/2014/chart" uri="{C3380CC4-5D6E-409C-BE32-E72D297353CC}">
              <c16:uniqueId val="{00000015-C020-4B45-8866-940C11FBE1B5}"/>
            </c:ext>
          </c:extLst>
        </c:ser>
        <c:ser>
          <c:idx val="2"/>
          <c:order val="2"/>
          <c:tx>
            <c:strRef>
              <c:f>Plot!$G$4</c:f>
              <c:strCache>
                <c:ptCount val="1"/>
                <c:pt idx="0">
                  <c:v>M.L.</c:v>
                </c:pt>
              </c:strCache>
            </c:strRef>
          </c:tx>
          <c:spPr>
            <a:ln w="25400" cap="rnd">
              <a:noFill/>
              <a:round/>
            </a:ln>
            <a:effectLst/>
          </c:spPr>
          <c:marker>
            <c:symbol val="circle"/>
            <c:size val="5"/>
            <c:spPr>
              <a:solidFill>
                <a:schemeClr val="accent1">
                  <a:lumMod val="40000"/>
                  <a:lumOff val="60000"/>
                </a:schemeClr>
              </a:solidFill>
              <a:ln w="9525">
                <a:noFill/>
              </a:ln>
              <a:effectLst/>
            </c:spPr>
          </c:marker>
          <c:xVal>
            <c:numRef>
              <c:f>Plot!$E$5:$E$24</c:f>
              <c:numCache>
                <c:formatCode>#,##0.0_ ;[Red]\-#,##0.0\ </c:formatCode>
                <c:ptCount val="20"/>
                <c:pt idx="0">
                  <c:v>14</c:v>
                </c:pt>
                <c:pt idx="1">
                  <c:v>33</c:v>
                </c:pt>
                <c:pt idx="2">
                  <c:v>105</c:v>
                </c:pt>
                <c:pt idx="3">
                  <c:v>10.199999999999999</c:v>
                </c:pt>
                <c:pt idx="4">
                  <c:v>49</c:v>
                </c:pt>
                <c:pt idx="5">
                  <c:v>40</c:v>
                </c:pt>
                <c:pt idx="6">
                  <c:v>11.8</c:v>
                </c:pt>
                <c:pt idx="7">
                  <c:v>13.281499999999999</c:v>
                </c:pt>
                <c:pt idx="8">
                  <c:v>6.7065000000000001</c:v>
                </c:pt>
                <c:pt idx="9">
                  <c:v>1.3412999999999999</c:v>
                </c:pt>
                <c:pt idx="10">
                  <c:v>1.3412999999999999</c:v>
                </c:pt>
                <c:pt idx="11">
                  <c:v>18</c:v>
                </c:pt>
                <c:pt idx="12">
                  <c:v>2</c:v>
                </c:pt>
                <c:pt idx="13">
                  <c:v>4.8</c:v>
                </c:pt>
                <c:pt idx="14">
                  <c:v>2.2000000000000002</c:v>
                </c:pt>
                <c:pt idx="15">
                  <c:v>2.1</c:v>
                </c:pt>
                <c:pt idx="16">
                  <c:v>1.08</c:v>
                </c:pt>
                <c:pt idx="17">
                  <c:v>1</c:v>
                </c:pt>
                <c:pt idx="18">
                  <c:v>8.0796903000000011</c:v>
                </c:pt>
                <c:pt idx="19">
                  <c:v>46</c:v>
                </c:pt>
              </c:numCache>
            </c:numRef>
          </c:xVal>
          <c:yVal>
            <c:numRef>
              <c:f>Plot!$G$5:$G$24</c:f>
              <c:numCache>
                <c:formatCode>#,##0.0_ ;[Red]\-#,##0.0\ </c:formatCode>
                <c:ptCount val="20"/>
                <c:pt idx="0">
                  <c:v>10</c:v>
                </c:pt>
                <c:pt idx="1">
                  <c:v>30</c:v>
                </c:pt>
                <c:pt idx="2">
                  <c:v>100</c:v>
                </c:pt>
                <c:pt idx="3">
                  <c:v>10</c:v>
                </c:pt>
                <c:pt idx="4">
                  <c:v>45</c:v>
                </c:pt>
                <c:pt idx="5">
                  <c:v>35</c:v>
                </c:pt>
                <c:pt idx="6">
                  <c:v>12</c:v>
                </c:pt>
                <c:pt idx="7">
                  <c:v>13.15</c:v>
                </c:pt>
                <c:pt idx="8">
                  <c:v>6.5750000000000002</c:v>
                </c:pt>
                <c:pt idx="9">
                  <c:v>1.3149999999999999</c:v>
                </c:pt>
                <c:pt idx="10">
                  <c:v>1.3149999999999999</c:v>
                </c:pt>
                <c:pt idx="11">
                  <c:v>15</c:v>
                </c:pt>
                <c:pt idx="12">
                  <c:v>2</c:v>
                </c:pt>
                <c:pt idx="13">
                  <c:v>5</c:v>
                </c:pt>
                <c:pt idx="14">
                  <c:v>2</c:v>
                </c:pt>
                <c:pt idx="15">
                  <c:v>2</c:v>
                </c:pt>
                <c:pt idx="16">
                  <c:v>1</c:v>
                </c:pt>
                <c:pt idx="17">
                  <c:v>1</c:v>
                </c:pt>
                <c:pt idx="18">
                  <c:v>7.921265</c:v>
                </c:pt>
                <c:pt idx="19">
                  <c:v>45</c:v>
                </c:pt>
              </c:numCache>
            </c:numRef>
          </c:yVal>
          <c:smooth val="0"/>
          <c:extLst>
            <c:ext xmlns:c16="http://schemas.microsoft.com/office/drawing/2014/chart" uri="{C3380CC4-5D6E-409C-BE32-E72D297353CC}">
              <c16:uniqueId val="{00000016-C020-4B45-8866-940C11FBE1B5}"/>
            </c:ext>
          </c:extLst>
        </c:ser>
        <c:ser>
          <c:idx val="44"/>
          <c:order val="3"/>
          <c:tx>
            <c:strRef>
              <c:f>Plot!$E$4</c:f>
              <c:strCache>
                <c:ptCount val="1"/>
                <c:pt idx="0">
                  <c:v>Mean</c:v>
                </c:pt>
              </c:strCache>
            </c:strRef>
          </c:tx>
          <c:spPr>
            <a:ln w="25400" cap="rnd">
              <a:noFill/>
              <a:round/>
            </a:ln>
            <a:effectLst/>
          </c:spPr>
          <c:marker>
            <c:symbol val="circle"/>
            <c:size val="5"/>
            <c:spPr>
              <a:noFill/>
              <a:ln w="9525">
                <a:solidFill>
                  <a:srgbClr val="0000FF"/>
                </a:solidFill>
              </a:ln>
              <a:effectLst/>
            </c:spPr>
          </c:marker>
          <c:xVal>
            <c:numRef>
              <c:f>Plot!$E$5:$E$24</c:f>
              <c:numCache>
                <c:formatCode>#,##0.0_ ;[Red]\-#,##0.0\ </c:formatCode>
                <c:ptCount val="20"/>
                <c:pt idx="0">
                  <c:v>14</c:v>
                </c:pt>
                <c:pt idx="1">
                  <c:v>33</c:v>
                </c:pt>
                <c:pt idx="2">
                  <c:v>105</c:v>
                </c:pt>
                <c:pt idx="3">
                  <c:v>10.199999999999999</c:v>
                </c:pt>
                <c:pt idx="4">
                  <c:v>49</c:v>
                </c:pt>
                <c:pt idx="5">
                  <c:v>40</c:v>
                </c:pt>
                <c:pt idx="6">
                  <c:v>11.8</c:v>
                </c:pt>
                <c:pt idx="7">
                  <c:v>13.281499999999999</c:v>
                </c:pt>
                <c:pt idx="8">
                  <c:v>6.7065000000000001</c:v>
                </c:pt>
                <c:pt idx="9">
                  <c:v>1.3412999999999999</c:v>
                </c:pt>
                <c:pt idx="10">
                  <c:v>1.3412999999999999</c:v>
                </c:pt>
                <c:pt idx="11">
                  <c:v>18</c:v>
                </c:pt>
                <c:pt idx="12">
                  <c:v>2</c:v>
                </c:pt>
                <c:pt idx="13">
                  <c:v>4.8</c:v>
                </c:pt>
                <c:pt idx="14">
                  <c:v>2.2000000000000002</c:v>
                </c:pt>
                <c:pt idx="15">
                  <c:v>2.1</c:v>
                </c:pt>
                <c:pt idx="16">
                  <c:v>1.08</c:v>
                </c:pt>
                <c:pt idx="17">
                  <c:v>1</c:v>
                </c:pt>
                <c:pt idx="18">
                  <c:v>8.0796903000000011</c:v>
                </c:pt>
                <c:pt idx="19">
                  <c:v>46</c:v>
                </c:pt>
              </c:numCache>
            </c:numRef>
          </c:xVal>
          <c:yVal>
            <c:numRef>
              <c:f>Plot!$E$5:$E$24</c:f>
              <c:numCache>
                <c:formatCode>#,##0.0_ ;[Red]\-#,##0.0\ </c:formatCode>
                <c:ptCount val="20"/>
                <c:pt idx="0">
                  <c:v>14</c:v>
                </c:pt>
                <c:pt idx="1">
                  <c:v>33</c:v>
                </c:pt>
                <c:pt idx="2">
                  <c:v>105</c:v>
                </c:pt>
                <c:pt idx="3">
                  <c:v>10.199999999999999</c:v>
                </c:pt>
                <c:pt idx="4">
                  <c:v>49</c:v>
                </c:pt>
                <c:pt idx="5">
                  <c:v>40</c:v>
                </c:pt>
                <c:pt idx="6">
                  <c:v>11.8</c:v>
                </c:pt>
                <c:pt idx="7">
                  <c:v>13.281499999999999</c:v>
                </c:pt>
                <c:pt idx="8">
                  <c:v>6.7065000000000001</c:v>
                </c:pt>
                <c:pt idx="9">
                  <c:v>1.3412999999999999</c:v>
                </c:pt>
                <c:pt idx="10">
                  <c:v>1.3412999999999999</c:v>
                </c:pt>
                <c:pt idx="11">
                  <c:v>18</c:v>
                </c:pt>
                <c:pt idx="12">
                  <c:v>2</c:v>
                </c:pt>
                <c:pt idx="13">
                  <c:v>4.8</c:v>
                </c:pt>
                <c:pt idx="14">
                  <c:v>2.2000000000000002</c:v>
                </c:pt>
                <c:pt idx="15">
                  <c:v>2.1</c:v>
                </c:pt>
                <c:pt idx="16">
                  <c:v>1.08</c:v>
                </c:pt>
                <c:pt idx="17">
                  <c:v>1</c:v>
                </c:pt>
                <c:pt idx="18">
                  <c:v>8.0796903000000011</c:v>
                </c:pt>
                <c:pt idx="19">
                  <c:v>46</c:v>
                </c:pt>
              </c:numCache>
            </c:numRef>
          </c:yVal>
          <c:smooth val="0"/>
          <c:extLst>
            <c:ext xmlns:c16="http://schemas.microsoft.com/office/drawing/2014/chart" uri="{C3380CC4-5D6E-409C-BE32-E72D297353CC}">
              <c16:uniqueId val="{00000017-C020-4B45-8866-940C11FBE1B5}"/>
            </c:ext>
          </c:extLst>
        </c:ser>
        <c:ser>
          <c:idx val="3"/>
          <c:order val="4"/>
          <c:tx>
            <c:strRef>
              <c:f>Plot!$I$5</c:f>
              <c:strCache>
                <c:ptCount val="1"/>
                <c:pt idx="0">
                  <c:v>11.a</c:v>
                </c:pt>
              </c:strCache>
            </c:strRef>
          </c:tx>
          <c:spPr>
            <a:ln w="12700" cap="rnd">
              <a:solidFill>
                <a:srgbClr val="0000FF"/>
              </a:solidFill>
              <a:round/>
            </a:ln>
            <a:effectLst/>
          </c:spPr>
          <c:marker>
            <c:symbol val="circle"/>
            <c:size val="5"/>
            <c:spPr>
              <a:noFill/>
              <a:ln w="9525">
                <a:solidFill>
                  <a:schemeClr val="accent4"/>
                </a:solidFill>
              </a:ln>
              <a:effectLst/>
            </c:spPr>
          </c:marker>
          <c:xVal>
            <c:numRef>
              <c:f>Plot!$J$5:$K$5</c:f>
              <c:numCache>
                <c:formatCode>#,##0.0_ ;[Red]\-#,##0.0\ </c:formatCode>
                <c:ptCount val="2"/>
                <c:pt idx="0">
                  <c:v>14</c:v>
                </c:pt>
                <c:pt idx="1">
                  <c:v>14</c:v>
                </c:pt>
              </c:numCache>
            </c:numRef>
          </c:xVal>
          <c:yVal>
            <c:numRef>
              <c:f>Plot!$L$5:$M$5</c:f>
              <c:numCache>
                <c:formatCode>#,##0.0_ ;[Red]\-#,##0.0\ </c:formatCode>
                <c:ptCount val="2"/>
                <c:pt idx="0">
                  <c:v>5</c:v>
                </c:pt>
                <c:pt idx="1">
                  <c:v>10</c:v>
                </c:pt>
              </c:numCache>
            </c:numRef>
          </c:yVal>
          <c:smooth val="0"/>
          <c:extLst>
            <c:ext xmlns:c16="http://schemas.microsoft.com/office/drawing/2014/chart" uri="{C3380CC4-5D6E-409C-BE32-E72D297353CC}">
              <c16:uniqueId val="{00000018-C020-4B45-8866-940C11FBE1B5}"/>
            </c:ext>
          </c:extLst>
        </c:ser>
        <c:ser>
          <c:idx val="4"/>
          <c:order val="5"/>
          <c:tx>
            <c:strRef>
              <c:f>Plot!$N$5</c:f>
              <c:strCache>
                <c:ptCount val="1"/>
                <c:pt idx="0">
                  <c:v>11.b</c:v>
                </c:pt>
              </c:strCache>
            </c:strRef>
          </c:tx>
          <c:spPr>
            <a:ln w="12700" cap="rnd">
              <a:solidFill>
                <a:srgbClr val="0000FF"/>
              </a:solidFill>
              <a:round/>
            </a:ln>
            <a:effectLst/>
          </c:spPr>
          <c:marker>
            <c:symbol val="circle"/>
            <c:size val="5"/>
            <c:spPr>
              <a:noFill/>
              <a:ln w="9525">
                <a:noFill/>
              </a:ln>
              <a:effectLst/>
            </c:spPr>
          </c:marker>
          <c:xVal>
            <c:numRef>
              <c:f>Plot!$O$5:$P$5</c:f>
              <c:numCache>
                <c:formatCode>#,##0.0_ ;[Red]\-#,##0.0\ </c:formatCode>
                <c:ptCount val="2"/>
                <c:pt idx="0">
                  <c:v>14</c:v>
                </c:pt>
                <c:pt idx="1">
                  <c:v>14</c:v>
                </c:pt>
              </c:numCache>
            </c:numRef>
          </c:xVal>
          <c:yVal>
            <c:numRef>
              <c:f>Plot!$Q$5:$R$5</c:f>
              <c:numCache>
                <c:formatCode>#,##0.0_ ;[Red]\-#,##0.0\ </c:formatCode>
                <c:ptCount val="2"/>
                <c:pt idx="0">
                  <c:v>10</c:v>
                </c:pt>
                <c:pt idx="1">
                  <c:v>35</c:v>
                </c:pt>
              </c:numCache>
            </c:numRef>
          </c:yVal>
          <c:smooth val="0"/>
          <c:extLst>
            <c:ext xmlns:c16="http://schemas.microsoft.com/office/drawing/2014/chart" uri="{C3380CC4-5D6E-409C-BE32-E72D297353CC}">
              <c16:uniqueId val="{00000019-C020-4B45-8866-940C11FBE1B5}"/>
            </c:ext>
          </c:extLst>
        </c:ser>
        <c:ser>
          <c:idx val="5"/>
          <c:order val="6"/>
          <c:tx>
            <c:strRef>
              <c:f>Plot!$I$6</c:f>
              <c:strCache>
                <c:ptCount val="1"/>
                <c:pt idx="0">
                  <c:v>12.a</c:v>
                </c:pt>
              </c:strCache>
            </c:strRef>
          </c:tx>
          <c:spPr>
            <a:ln w="12700" cap="rnd">
              <a:solidFill>
                <a:srgbClr val="0000FF"/>
              </a:solidFill>
              <a:round/>
            </a:ln>
            <a:effectLst/>
          </c:spPr>
          <c:marker>
            <c:symbol val="circle"/>
            <c:size val="5"/>
            <c:spPr>
              <a:noFill/>
              <a:ln w="9525">
                <a:noFill/>
              </a:ln>
              <a:effectLst/>
            </c:spPr>
          </c:marker>
          <c:xVal>
            <c:numRef>
              <c:f>Plot!$J$6:$K$6</c:f>
              <c:numCache>
                <c:formatCode>#,##0.0_ ;[Red]\-#,##0.0\ </c:formatCode>
                <c:ptCount val="2"/>
                <c:pt idx="0">
                  <c:v>33</c:v>
                </c:pt>
                <c:pt idx="1">
                  <c:v>33</c:v>
                </c:pt>
              </c:numCache>
            </c:numRef>
          </c:xVal>
          <c:yVal>
            <c:numRef>
              <c:f>Plot!$L$6:$M$6</c:f>
              <c:numCache>
                <c:formatCode>#,##0.0_ ;[Red]\-#,##0.0\ </c:formatCode>
                <c:ptCount val="2"/>
                <c:pt idx="0">
                  <c:v>25</c:v>
                </c:pt>
                <c:pt idx="1">
                  <c:v>30</c:v>
                </c:pt>
              </c:numCache>
            </c:numRef>
          </c:yVal>
          <c:smooth val="0"/>
          <c:extLst>
            <c:ext xmlns:c16="http://schemas.microsoft.com/office/drawing/2014/chart" uri="{C3380CC4-5D6E-409C-BE32-E72D297353CC}">
              <c16:uniqueId val="{0000001A-C020-4B45-8866-940C11FBE1B5}"/>
            </c:ext>
          </c:extLst>
        </c:ser>
        <c:ser>
          <c:idx val="6"/>
          <c:order val="7"/>
          <c:tx>
            <c:strRef>
              <c:f>Plot!$N$6</c:f>
              <c:strCache>
                <c:ptCount val="1"/>
                <c:pt idx="0">
                  <c:v>12.b</c:v>
                </c:pt>
              </c:strCache>
            </c:strRef>
          </c:tx>
          <c:spPr>
            <a:ln w="12700" cap="rnd">
              <a:solidFill>
                <a:srgbClr val="0000FF"/>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Plot!$O$6:$P$6</c:f>
              <c:numCache>
                <c:formatCode>#,##0.0_ ;[Red]\-#,##0.0\ </c:formatCode>
                <c:ptCount val="2"/>
                <c:pt idx="0">
                  <c:v>33</c:v>
                </c:pt>
                <c:pt idx="1">
                  <c:v>33</c:v>
                </c:pt>
              </c:numCache>
            </c:numRef>
          </c:xVal>
          <c:yVal>
            <c:numRef>
              <c:f>Plot!$Q$6:$R$6</c:f>
              <c:numCache>
                <c:formatCode>#,##0.0_ ;[Red]\-#,##0.0\ </c:formatCode>
                <c:ptCount val="2"/>
                <c:pt idx="0">
                  <c:v>30</c:v>
                </c:pt>
                <c:pt idx="1">
                  <c:v>50</c:v>
                </c:pt>
              </c:numCache>
            </c:numRef>
          </c:yVal>
          <c:smooth val="0"/>
          <c:extLst>
            <c:ext xmlns:c16="http://schemas.microsoft.com/office/drawing/2014/chart" uri="{C3380CC4-5D6E-409C-BE32-E72D297353CC}">
              <c16:uniqueId val="{0000001B-C020-4B45-8866-940C11FBE1B5}"/>
            </c:ext>
          </c:extLst>
        </c:ser>
        <c:ser>
          <c:idx val="7"/>
          <c:order val="8"/>
          <c:tx>
            <c:strRef>
              <c:f>Plot!$I$7</c:f>
              <c:strCache>
                <c:ptCount val="1"/>
                <c:pt idx="0">
                  <c:v>13.a</c:v>
                </c:pt>
              </c:strCache>
            </c:strRef>
          </c:tx>
          <c:spPr>
            <a:ln w="12700" cap="rnd">
              <a:solidFill>
                <a:srgbClr val="0000FF"/>
              </a:solidFill>
              <a:round/>
            </a:ln>
            <a:effectLst/>
          </c:spPr>
          <c:marker>
            <c:symbol val="circle"/>
            <c:size val="5"/>
            <c:spPr>
              <a:noFill/>
              <a:ln w="9525">
                <a:noFill/>
              </a:ln>
              <a:effectLst/>
            </c:spPr>
          </c:marker>
          <c:xVal>
            <c:numRef>
              <c:f>Plot!$J$7:$K$7</c:f>
              <c:numCache>
                <c:formatCode>#,##0.0_ ;[Red]\-#,##0.0\ </c:formatCode>
                <c:ptCount val="2"/>
                <c:pt idx="0">
                  <c:v>105</c:v>
                </c:pt>
                <c:pt idx="1">
                  <c:v>105</c:v>
                </c:pt>
              </c:numCache>
            </c:numRef>
          </c:xVal>
          <c:yVal>
            <c:numRef>
              <c:f>Plot!$L$7:$M$7</c:f>
              <c:numCache>
                <c:formatCode>#,##0.0_ ;[Red]\-#,##0.0\ </c:formatCode>
                <c:ptCount val="2"/>
                <c:pt idx="0">
                  <c:v>75</c:v>
                </c:pt>
                <c:pt idx="1">
                  <c:v>100</c:v>
                </c:pt>
              </c:numCache>
            </c:numRef>
          </c:yVal>
          <c:smooth val="0"/>
          <c:extLst>
            <c:ext xmlns:c16="http://schemas.microsoft.com/office/drawing/2014/chart" uri="{C3380CC4-5D6E-409C-BE32-E72D297353CC}">
              <c16:uniqueId val="{0000001C-C020-4B45-8866-940C11FBE1B5}"/>
            </c:ext>
          </c:extLst>
        </c:ser>
        <c:ser>
          <c:idx val="8"/>
          <c:order val="9"/>
          <c:tx>
            <c:strRef>
              <c:f>Plot!$N$7</c:f>
              <c:strCache>
                <c:ptCount val="1"/>
                <c:pt idx="0">
                  <c:v>13.b</c:v>
                </c:pt>
              </c:strCache>
            </c:strRef>
          </c:tx>
          <c:spPr>
            <a:ln w="12700" cap="rnd">
              <a:solidFill>
                <a:srgbClr val="0000FF"/>
              </a:solidFill>
              <a:round/>
            </a:ln>
            <a:effectLst/>
          </c:spPr>
          <c:marker>
            <c:symbol val="none"/>
          </c:marker>
          <c:xVal>
            <c:numRef>
              <c:f>Plot!$O$7:$P$7</c:f>
              <c:numCache>
                <c:formatCode>#,##0.0_ ;[Red]\-#,##0.0\ </c:formatCode>
                <c:ptCount val="2"/>
                <c:pt idx="0">
                  <c:v>105</c:v>
                </c:pt>
                <c:pt idx="1">
                  <c:v>105</c:v>
                </c:pt>
              </c:numCache>
            </c:numRef>
          </c:xVal>
          <c:yVal>
            <c:numRef>
              <c:f>Plot!$Q$7:$R$7</c:f>
              <c:numCache>
                <c:formatCode>#,##0.0_ ;[Red]\-#,##0.0\ </c:formatCode>
                <c:ptCount val="2"/>
                <c:pt idx="0">
                  <c:v>100</c:v>
                </c:pt>
                <c:pt idx="1">
                  <c:v>150</c:v>
                </c:pt>
              </c:numCache>
            </c:numRef>
          </c:yVal>
          <c:smooth val="0"/>
          <c:extLst>
            <c:ext xmlns:c16="http://schemas.microsoft.com/office/drawing/2014/chart" uri="{C3380CC4-5D6E-409C-BE32-E72D297353CC}">
              <c16:uniqueId val="{0000001D-C020-4B45-8866-940C11FBE1B5}"/>
            </c:ext>
          </c:extLst>
        </c:ser>
        <c:ser>
          <c:idx val="9"/>
          <c:order val="10"/>
          <c:tx>
            <c:strRef>
              <c:f>Plot!$I$8</c:f>
              <c:strCache>
                <c:ptCount val="1"/>
                <c:pt idx="0">
                  <c:v>14.a</c:v>
                </c:pt>
              </c:strCache>
            </c:strRef>
          </c:tx>
          <c:spPr>
            <a:ln w="12700" cap="rnd">
              <a:solidFill>
                <a:srgbClr val="0000FF"/>
              </a:solidFill>
              <a:round/>
            </a:ln>
            <a:effectLst/>
          </c:spPr>
          <c:marker>
            <c:symbol val="circle"/>
            <c:size val="5"/>
            <c:spPr>
              <a:noFill/>
              <a:ln w="9525">
                <a:noFill/>
              </a:ln>
              <a:effectLst/>
            </c:spPr>
          </c:marker>
          <c:xVal>
            <c:numRef>
              <c:f>Plot!$J$8:$K$8</c:f>
              <c:numCache>
                <c:formatCode>#,##0.0_ ;[Red]\-#,##0.0\ </c:formatCode>
                <c:ptCount val="2"/>
                <c:pt idx="0">
                  <c:v>10.199999999999999</c:v>
                </c:pt>
                <c:pt idx="1">
                  <c:v>10.199999999999999</c:v>
                </c:pt>
              </c:numCache>
            </c:numRef>
          </c:xVal>
          <c:yVal>
            <c:numRef>
              <c:f>Plot!$L$8:$M$8</c:f>
              <c:numCache>
                <c:formatCode>#,##0.0_ ;[Red]\-#,##0.0\ </c:formatCode>
                <c:ptCount val="2"/>
                <c:pt idx="0">
                  <c:v>6</c:v>
                </c:pt>
                <c:pt idx="1">
                  <c:v>10</c:v>
                </c:pt>
              </c:numCache>
            </c:numRef>
          </c:yVal>
          <c:smooth val="0"/>
          <c:extLst>
            <c:ext xmlns:c16="http://schemas.microsoft.com/office/drawing/2014/chart" uri="{C3380CC4-5D6E-409C-BE32-E72D297353CC}">
              <c16:uniqueId val="{0000001E-C020-4B45-8866-940C11FBE1B5}"/>
            </c:ext>
          </c:extLst>
        </c:ser>
        <c:ser>
          <c:idx val="10"/>
          <c:order val="11"/>
          <c:tx>
            <c:strRef>
              <c:f>Plot!$N$8</c:f>
              <c:strCache>
                <c:ptCount val="1"/>
                <c:pt idx="0">
                  <c:v>14.b</c:v>
                </c:pt>
              </c:strCache>
            </c:strRef>
          </c:tx>
          <c:spPr>
            <a:ln w="12700" cap="rnd">
              <a:solidFill>
                <a:srgbClr val="0000FF"/>
              </a:solidFill>
              <a:round/>
            </a:ln>
            <a:effectLst/>
          </c:spPr>
          <c:marker>
            <c:symbol val="circle"/>
            <c:size val="5"/>
            <c:spPr>
              <a:noFill/>
              <a:ln w="9525">
                <a:noFill/>
              </a:ln>
              <a:effectLst/>
            </c:spPr>
          </c:marker>
          <c:xVal>
            <c:numRef>
              <c:f>Plot!$O$8:$P$8</c:f>
              <c:numCache>
                <c:formatCode>#,##0.0_ ;[Red]\-#,##0.0\ </c:formatCode>
                <c:ptCount val="2"/>
                <c:pt idx="0">
                  <c:v>10.199999999999999</c:v>
                </c:pt>
                <c:pt idx="1">
                  <c:v>10.199999999999999</c:v>
                </c:pt>
              </c:numCache>
            </c:numRef>
          </c:xVal>
          <c:yVal>
            <c:numRef>
              <c:f>Plot!$Q$8:$R$8</c:f>
              <c:numCache>
                <c:formatCode>#,##0.0_ ;[Red]\-#,##0.0\ </c:formatCode>
                <c:ptCount val="2"/>
                <c:pt idx="0">
                  <c:v>10</c:v>
                </c:pt>
                <c:pt idx="1">
                  <c:v>15</c:v>
                </c:pt>
              </c:numCache>
            </c:numRef>
          </c:yVal>
          <c:smooth val="0"/>
          <c:extLst>
            <c:ext xmlns:c16="http://schemas.microsoft.com/office/drawing/2014/chart" uri="{C3380CC4-5D6E-409C-BE32-E72D297353CC}">
              <c16:uniqueId val="{0000001F-C020-4B45-8866-940C11FBE1B5}"/>
            </c:ext>
          </c:extLst>
        </c:ser>
        <c:ser>
          <c:idx val="11"/>
          <c:order val="12"/>
          <c:tx>
            <c:strRef>
              <c:f>Plot!$I$9</c:f>
              <c:strCache>
                <c:ptCount val="1"/>
                <c:pt idx="0">
                  <c:v>15.a</c:v>
                </c:pt>
              </c:strCache>
            </c:strRef>
          </c:tx>
          <c:spPr>
            <a:ln w="12700" cap="rnd">
              <a:solidFill>
                <a:srgbClr val="0000FF"/>
              </a:solidFill>
              <a:round/>
            </a:ln>
            <a:effectLst/>
          </c:spPr>
          <c:marker>
            <c:symbol val="circle"/>
            <c:size val="5"/>
            <c:spPr>
              <a:noFill/>
              <a:ln w="9525">
                <a:noFill/>
              </a:ln>
              <a:effectLst/>
            </c:spPr>
          </c:marker>
          <c:xVal>
            <c:numRef>
              <c:f>Plot!$J$9:$K$9</c:f>
              <c:numCache>
                <c:formatCode>#,##0.0_ ;[Red]\-#,##0.0\ </c:formatCode>
                <c:ptCount val="2"/>
                <c:pt idx="0">
                  <c:v>49</c:v>
                </c:pt>
                <c:pt idx="1">
                  <c:v>49</c:v>
                </c:pt>
              </c:numCache>
            </c:numRef>
          </c:xVal>
          <c:yVal>
            <c:numRef>
              <c:f>Plot!$L$9:$M$9</c:f>
              <c:numCache>
                <c:formatCode>#,##0.0_ ;[Red]\-#,##0.0\ </c:formatCode>
                <c:ptCount val="2"/>
                <c:pt idx="0">
                  <c:v>10</c:v>
                </c:pt>
                <c:pt idx="1">
                  <c:v>45</c:v>
                </c:pt>
              </c:numCache>
            </c:numRef>
          </c:yVal>
          <c:smooth val="0"/>
          <c:extLst>
            <c:ext xmlns:c16="http://schemas.microsoft.com/office/drawing/2014/chart" uri="{C3380CC4-5D6E-409C-BE32-E72D297353CC}">
              <c16:uniqueId val="{00000020-C020-4B45-8866-940C11FBE1B5}"/>
            </c:ext>
          </c:extLst>
        </c:ser>
        <c:ser>
          <c:idx val="12"/>
          <c:order val="13"/>
          <c:tx>
            <c:strRef>
              <c:f>Plot!$N$9</c:f>
              <c:strCache>
                <c:ptCount val="1"/>
                <c:pt idx="0">
                  <c:v>15.b</c:v>
                </c:pt>
              </c:strCache>
            </c:strRef>
          </c:tx>
          <c:spPr>
            <a:ln w="12700" cap="rnd">
              <a:solidFill>
                <a:srgbClr val="0000FF"/>
              </a:solidFill>
              <a:round/>
            </a:ln>
            <a:effectLst/>
          </c:spPr>
          <c:marker>
            <c:symbol val="circle"/>
            <c:size val="5"/>
            <c:spPr>
              <a:noFill/>
              <a:ln w="9525">
                <a:noFill/>
              </a:ln>
              <a:effectLst/>
            </c:spPr>
          </c:marker>
          <c:xVal>
            <c:numRef>
              <c:f>Plot!$O$9:$P$9</c:f>
              <c:numCache>
                <c:formatCode>#,##0.0_ ;[Red]\-#,##0.0\ </c:formatCode>
                <c:ptCount val="2"/>
                <c:pt idx="0">
                  <c:v>49</c:v>
                </c:pt>
                <c:pt idx="1">
                  <c:v>49</c:v>
                </c:pt>
              </c:numCache>
            </c:numRef>
          </c:xVal>
          <c:yVal>
            <c:numRef>
              <c:f>Plot!$Q$9:$R$9</c:f>
              <c:numCache>
                <c:formatCode>#,##0.0_ ;[Red]\-#,##0.0\ </c:formatCode>
                <c:ptCount val="2"/>
                <c:pt idx="0">
                  <c:v>45</c:v>
                </c:pt>
                <c:pt idx="1">
                  <c:v>100</c:v>
                </c:pt>
              </c:numCache>
            </c:numRef>
          </c:yVal>
          <c:smooth val="0"/>
          <c:extLst>
            <c:ext xmlns:c16="http://schemas.microsoft.com/office/drawing/2014/chart" uri="{C3380CC4-5D6E-409C-BE32-E72D297353CC}">
              <c16:uniqueId val="{00000021-C020-4B45-8866-940C11FBE1B5}"/>
            </c:ext>
          </c:extLst>
        </c:ser>
        <c:ser>
          <c:idx val="13"/>
          <c:order val="14"/>
          <c:tx>
            <c:strRef>
              <c:f>Plot!$I$10</c:f>
              <c:strCache>
                <c:ptCount val="1"/>
                <c:pt idx="0">
                  <c:v>16.a</c:v>
                </c:pt>
              </c:strCache>
            </c:strRef>
          </c:tx>
          <c:spPr>
            <a:ln w="12700" cap="rnd">
              <a:solidFill>
                <a:srgbClr val="0000FF"/>
              </a:solidFill>
              <a:round/>
            </a:ln>
            <a:effectLst/>
          </c:spPr>
          <c:marker>
            <c:symbol val="circle"/>
            <c:size val="5"/>
            <c:spPr>
              <a:noFill/>
              <a:ln w="9525">
                <a:noFill/>
              </a:ln>
              <a:effectLst/>
            </c:spPr>
          </c:marker>
          <c:xVal>
            <c:numRef>
              <c:f>Plot!$J$10:$K$10</c:f>
              <c:numCache>
                <c:formatCode>#,##0.0_ ;[Red]\-#,##0.0\ </c:formatCode>
                <c:ptCount val="2"/>
                <c:pt idx="0">
                  <c:v>40</c:v>
                </c:pt>
                <c:pt idx="1">
                  <c:v>40</c:v>
                </c:pt>
              </c:numCache>
            </c:numRef>
          </c:xVal>
          <c:yVal>
            <c:numRef>
              <c:f>Plot!$L$10:$M$10</c:f>
              <c:numCache>
                <c:formatCode>#,##0.0_ ;[Red]\-#,##0.0\ </c:formatCode>
                <c:ptCount val="2"/>
                <c:pt idx="0">
                  <c:v>20</c:v>
                </c:pt>
                <c:pt idx="1">
                  <c:v>35</c:v>
                </c:pt>
              </c:numCache>
            </c:numRef>
          </c:yVal>
          <c:smooth val="0"/>
          <c:extLst>
            <c:ext xmlns:c16="http://schemas.microsoft.com/office/drawing/2014/chart" uri="{C3380CC4-5D6E-409C-BE32-E72D297353CC}">
              <c16:uniqueId val="{00000022-C020-4B45-8866-940C11FBE1B5}"/>
            </c:ext>
          </c:extLst>
        </c:ser>
        <c:ser>
          <c:idx val="14"/>
          <c:order val="15"/>
          <c:tx>
            <c:strRef>
              <c:f>Plot!$N$10</c:f>
              <c:strCache>
                <c:ptCount val="1"/>
                <c:pt idx="0">
                  <c:v>16.b</c:v>
                </c:pt>
              </c:strCache>
            </c:strRef>
          </c:tx>
          <c:spPr>
            <a:ln w="12700" cap="rnd">
              <a:solidFill>
                <a:srgbClr val="0000FF"/>
              </a:solidFill>
              <a:round/>
            </a:ln>
            <a:effectLst/>
          </c:spPr>
          <c:marker>
            <c:symbol val="circle"/>
            <c:size val="5"/>
            <c:spPr>
              <a:noFill/>
              <a:ln w="9525">
                <a:noFill/>
              </a:ln>
              <a:effectLst/>
            </c:spPr>
          </c:marker>
          <c:xVal>
            <c:numRef>
              <c:f>Plot!$O$10:$P$10</c:f>
              <c:numCache>
                <c:formatCode>#,##0.0_ ;[Red]\-#,##0.0\ </c:formatCode>
                <c:ptCount val="2"/>
                <c:pt idx="0">
                  <c:v>40</c:v>
                </c:pt>
                <c:pt idx="1">
                  <c:v>40</c:v>
                </c:pt>
              </c:numCache>
            </c:numRef>
          </c:xVal>
          <c:yVal>
            <c:numRef>
              <c:f>Plot!$Q$10:$R$10</c:f>
              <c:numCache>
                <c:formatCode>#,##0.0_ ;[Red]\-#,##0.0\ </c:formatCode>
                <c:ptCount val="2"/>
                <c:pt idx="0">
                  <c:v>35</c:v>
                </c:pt>
                <c:pt idx="1">
                  <c:v>75</c:v>
                </c:pt>
              </c:numCache>
            </c:numRef>
          </c:yVal>
          <c:smooth val="0"/>
          <c:extLst>
            <c:ext xmlns:c16="http://schemas.microsoft.com/office/drawing/2014/chart" uri="{C3380CC4-5D6E-409C-BE32-E72D297353CC}">
              <c16:uniqueId val="{00000023-C020-4B45-8866-940C11FBE1B5}"/>
            </c:ext>
          </c:extLst>
        </c:ser>
        <c:ser>
          <c:idx val="15"/>
          <c:order val="16"/>
          <c:tx>
            <c:strRef>
              <c:f>Plot!$N$11</c:f>
              <c:strCache>
                <c:ptCount val="1"/>
                <c:pt idx="0">
                  <c:v>17.b</c:v>
                </c:pt>
              </c:strCache>
            </c:strRef>
          </c:tx>
          <c:spPr>
            <a:ln w="12700" cap="rnd">
              <a:solidFill>
                <a:srgbClr val="0000FF"/>
              </a:solidFill>
              <a:round/>
            </a:ln>
            <a:effectLst/>
          </c:spPr>
          <c:marker>
            <c:symbol val="circle"/>
            <c:size val="5"/>
            <c:spPr>
              <a:noFill/>
              <a:ln w="9525">
                <a:noFill/>
              </a:ln>
              <a:effectLst/>
            </c:spPr>
          </c:marker>
          <c:xVal>
            <c:numRef>
              <c:f>Plot!$J$11:$K$11</c:f>
              <c:numCache>
                <c:formatCode>#,##0.0_ ;[Red]\-#,##0.0\ </c:formatCode>
                <c:ptCount val="2"/>
                <c:pt idx="0">
                  <c:v>11.8</c:v>
                </c:pt>
                <c:pt idx="1">
                  <c:v>11.8</c:v>
                </c:pt>
              </c:numCache>
            </c:numRef>
          </c:xVal>
          <c:yVal>
            <c:numRef>
              <c:f>Plot!$L$11:$M$11</c:f>
              <c:numCache>
                <c:formatCode>#,##0.0_ ;[Red]\-#,##0.0\ </c:formatCode>
                <c:ptCount val="2"/>
                <c:pt idx="0">
                  <c:v>8</c:v>
                </c:pt>
                <c:pt idx="1">
                  <c:v>12</c:v>
                </c:pt>
              </c:numCache>
            </c:numRef>
          </c:yVal>
          <c:smooth val="0"/>
          <c:extLst>
            <c:ext xmlns:c16="http://schemas.microsoft.com/office/drawing/2014/chart" uri="{C3380CC4-5D6E-409C-BE32-E72D297353CC}">
              <c16:uniqueId val="{00000024-C020-4B45-8866-940C11FBE1B5}"/>
            </c:ext>
          </c:extLst>
        </c:ser>
        <c:ser>
          <c:idx val="17"/>
          <c:order val="17"/>
          <c:tx>
            <c:strRef>
              <c:f>Plot!$N$11</c:f>
              <c:strCache>
                <c:ptCount val="1"/>
                <c:pt idx="0">
                  <c:v>17.b</c:v>
                </c:pt>
              </c:strCache>
            </c:strRef>
          </c:tx>
          <c:spPr>
            <a:ln w="12700" cap="rnd">
              <a:solidFill>
                <a:schemeClr val="accent1"/>
              </a:solidFill>
              <a:round/>
            </a:ln>
            <a:effectLst/>
          </c:spPr>
          <c:marker>
            <c:symbol val="circle"/>
            <c:size val="5"/>
            <c:spPr>
              <a:noFill/>
              <a:ln w="9525">
                <a:noFill/>
              </a:ln>
              <a:effectLst/>
            </c:spPr>
          </c:marker>
          <c:xVal>
            <c:numRef>
              <c:f>Plot!$O$11:$P$11</c:f>
              <c:numCache>
                <c:formatCode>#,##0.0_ ;[Red]\-#,##0.0\ </c:formatCode>
                <c:ptCount val="2"/>
                <c:pt idx="0">
                  <c:v>11.8</c:v>
                </c:pt>
                <c:pt idx="1">
                  <c:v>11.8</c:v>
                </c:pt>
              </c:numCache>
            </c:numRef>
          </c:xVal>
          <c:yVal>
            <c:numRef>
              <c:f>Plot!$Q$11:$R$11</c:f>
              <c:numCache>
                <c:formatCode>#,##0.0_ ;[Red]\-#,##0.0\ </c:formatCode>
                <c:ptCount val="2"/>
                <c:pt idx="0">
                  <c:v>12</c:v>
                </c:pt>
                <c:pt idx="1">
                  <c:v>15</c:v>
                </c:pt>
              </c:numCache>
            </c:numRef>
          </c:yVal>
          <c:smooth val="0"/>
          <c:extLst>
            <c:ext xmlns:c16="http://schemas.microsoft.com/office/drawing/2014/chart" uri="{C3380CC4-5D6E-409C-BE32-E72D297353CC}">
              <c16:uniqueId val="{00000025-C020-4B45-8866-940C11FBE1B5}"/>
            </c:ext>
          </c:extLst>
        </c:ser>
        <c:ser>
          <c:idx val="18"/>
          <c:order val="18"/>
          <c:tx>
            <c:strRef>
              <c:f>Plot!$I$12</c:f>
              <c:strCache>
                <c:ptCount val="1"/>
                <c:pt idx="0">
                  <c:v>21.a</c:v>
                </c:pt>
              </c:strCache>
            </c:strRef>
          </c:tx>
          <c:spPr>
            <a:ln w="12700" cap="rnd">
              <a:solidFill>
                <a:srgbClr val="0000FF"/>
              </a:solidFill>
              <a:round/>
            </a:ln>
            <a:effectLst/>
          </c:spPr>
          <c:marker>
            <c:symbol val="circle"/>
            <c:size val="5"/>
            <c:spPr>
              <a:noFill/>
              <a:ln w="9525">
                <a:noFill/>
              </a:ln>
              <a:effectLst/>
            </c:spPr>
          </c:marker>
          <c:xVal>
            <c:numRef>
              <c:f>Plot!$J$12:$K$12</c:f>
              <c:numCache>
                <c:formatCode>#,##0.0_ ;[Red]\-#,##0.0\ </c:formatCode>
                <c:ptCount val="2"/>
                <c:pt idx="0">
                  <c:v>13.281499999999999</c:v>
                </c:pt>
                <c:pt idx="1">
                  <c:v>13.281499999999999</c:v>
                </c:pt>
              </c:numCache>
            </c:numRef>
          </c:xVal>
          <c:yVal>
            <c:numRef>
              <c:f>Plot!$L$12:$M$12</c:f>
              <c:numCache>
                <c:formatCode>#,##0.0_ ;[Red]\-#,##0.0\ </c:formatCode>
                <c:ptCount val="2"/>
                <c:pt idx="0">
                  <c:v>10.520000000000001</c:v>
                </c:pt>
                <c:pt idx="1">
                  <c:v>13.15</c:v>
                </c:pt>
              </c:numCache>
            </c:numRef>
          </c:yVal>
          <c:smooth val="0"/>
          <c:extLst>
            <c:ext xmlns:c16="http://schemas.microsoft.com/office/drawing/2014/chart" uri="{C3380CC4-5D6E-409C-BE32-E72D297353CC}">
              <c16:uniqueId val="{00000026-C020-4B45-8866-940C11FBE1B5}"/>
            </c:ext>
          </c:extLst>
        </c:ser>
        <c:ser>
          <c:idx val="19"/>
          <c:order val="19"/>
          <c:tx>
            <c:strRef>
              <c:f>Plot!$N$12</c:f>
              <c:strCache>
                <c:ptCount val="1"/>
                <c:pt idx="0">
                  <c:v>21.b</c:v>
                </c:pt>
              </c:strCache>
            </c:strRef>
          </c:tx>
          <c:spPr>
            <a:ln w="12700" cap="rnd">
              <a:solidFill>
                <a:srgbClr val="0000FF"/>
              </a:solidFill>
              <a:round/>
            </a:ln>
            <a:effectLst/>
          </c:spPr>
          <c:marker>
            <c:symbol val="circle"/>
            <c:size val="5"/>
            <c:spPr>
              <a:noFill/>
              <a:ln w="9525">
                <a:noFill/>
              </a:ln>
              <a:effectLst/>
            </c:spPr>
          </c:marker>
          <c:xVal>
            <c:numRef>
              <c:f>Plot!$O$12:$P$12</c:f>
              <c:numCache>
                <c:formatCode>#,##0.0_ ;[Red]\-#,##0.0\ </c:formatCode>
                <c:ptCount val="2"/>
                <c:pt idx="0">
                  <c:v>13.281499999999999</c:v>
                </c:pt>
                <c:pt idx="1">
                  <c:v>13.281499999999999</c:v>
                </c:pt>
              </c:numCache>
            </c:numRef>
          </c:xVal>
          <c:yVal>
            <c:numRef>
              <c:f>Plot!$Q$12:$R$12</c:f>
              <c:numCache>
                <c:formatCode>#,##0.0_ ;[Red]\-#,##0.0\ </c:formatCode>
                <c:ptCount val="2"/>
                <c:pt idx="0">
                  <c:v>13.15</c:v>
                </c:pt>
                <c:pt idx="1">
                  <c:v>16.4375</c:v>
                </c:pt>
              </c:numCache>
            </c:numRef>
          </c:yVal>
          <c:smooth val="0"/>
          <c:extLst>
            <c:ext xmlns:c16="http://schemas.microsoft.com/office/drawing/2014/chart" uri="{C3380CC4-5D6E-409C-BE32-E72D297353CC}">
              <c16:uniqueId val="{00000027-C020-4B45-8866-940C11FBE1B5}"/>
            </c:ext>
          </c:extLst>
        </c:ser>
        <c:ser>
          <c:idx val="20"/>
          <c:order val="20"/>
          <c:tx>
            <c:strRef>
              <c:f>Plot!$I$13</c:f>
              <c:strCache>
                <c:ptCount val="1"/>
                <c:pt idx="0">
                  <c:v>22.a</c:v>
                </c:pt>
              </c:strCache>
            </c:strRef>
          </c:tx>
          <c:spPr>
            <a:ln w="12700" cap="rnd">
              <a:solidFill>
                <a:srgbClr val="0000FF"/>
              </a:solidFill>
              <a:round/>
            </a:ln>
            <a:effectLst/>
          </c:spPr>
          <c:marker>
            <c:symbol val="circle"/>
            <c:size val="5"/>
            <c:spPr>
              <a:noFill/>
              <a:ln w="9525">
                <a:noFill/>
              </a:ln>
              <a:effectLst/>
            </c:spPr>
          </c:marker>
          <c:xVal>
            <c:numRef>
              <c:f>Plot!$J$13:$K$13</c:f>
              <c:numCache>
                <c:formatCode>#,##0.0_ ;[Red]\-#,##0.0\ </c:formatCode>
                <c:ptCount val="2"/>
                <c:pt idx="0">
                  <c:v>6.7065000000000001</c:v>
                </c:pt>
                <c:pt idx="1">
                  <c:v>6.7065000000000001</c:v>
                </c:pt>
              </c:numCache>
            </c:numRef>
          </c:xVal>
          <c:yVal>
            <c:numRef>
              <c:f>Plot!$L$13:$M$13</c:f>
              <c:numCache>
                <c:formatCode>#,##0.0_ ;[Red]\-#,##0.0\ </c:formatCode>
                <c:ptCount val="2"/>
                <c:pt idx="0">
                  <c:v>3.9449999999999998</c:v>
                </c:pt>
                <c:pt idx="1">
                  <c:v>6.5750000000000002</c:v>
                </c:pt>
              </c:numCache>
            </c:numRef>
          </c:yVal>
          <c:smooth val="0"/>
          <c:extLst>
            <c:ext xmlns:c16="http://schemas.microsoft.com/office/drawing/2014/chart" uri="{C3380CC4-5D6E-409C-BE32-E72D297353CC}">
              <c16:uniqueId val="{00000028-C020-4B45-8866-940C11FBE1B5}"/>
            </c:ext>
          </c:extLst>
        </c:ser>
        <c:ser>
          <c:idx val="21"/>
          <c:order val="21"/>
          <c:tx>
            <c:strRef>
              <c:f>Plot!$N$13</c:f>
              <c:strCache>
                <c:ptCount val="1"/>
                <c:pt idx="0">
                  <c:v>22.b</c:v>
                </c:pt>
              </c:strCache>
            </c:strRef>
          </c:tx>
          <c:spPr>
            <a:ln w="12700" cap="rnd">
              <a:solidFill>
                <a:srgbClr val="0000FF"/>
              </a:solidFill>
              <a:round/>
            </a:ln>
            <a:effectLst/>
          </c:spPr>
          <c:marker>
            <c:symbol val="circle"/>
            <c:size val="5"/>
            <c:spPr>
              <a:noFill/>
              <a:ln w="9525">
                <a:noFill/>
              </a:ln>
              <a:effectLst/>
            </c:spPr>
          </c:marker>
          <c:xVal>
            <c:numRef>
              <c:f>Plot!$O$13:$P$13</c:f>
              <c:numCache>
                <c:formatCode>#,##0.0_ ;[Red]\-#,##0.0\ </c:formatCode>
                <c:ptCount val="2"/>
                <c:pt idx="0">
                  <c:v>6.7065000000000001</c:v>
                </c:pt>
                <c:pt idx="1">
                  <c:v>6.7065000000000001</c:v>
                </c:pt>
              </c:numCache>
            </c:numRef>
          </c:xVal>
          <c:yVal>
            <c:numRef>
              <c:f>Plot!$Q$13:$R$13</c:f>
              <c:numCache>
                <c:formatCode>#,##0.0_ ;[Red]\-#,##0.0\ </c:formatCode>
                <c:ptCount val="2"/>
                <c:pt idx="0">
                  <c:v>6.5750000000000002</c:v>
                </c:pt>
                <c:pt idx="1">
                  <c:v>9.8625000000000007</c:v>
                </c:pt>
              </c:numCache>
            </c:numRef>
          </c:yVal>
          <c:smooth val="0"/>
          <c:extLst>
            <c:ext xmlns:c16="http://schemas.microsoft.com/office/drawing/2014/chart" uri="{C3380CC4-5D6E-409C-BE32-E72D297353CC}">
              <c16:uniqueId val="{00000029-C020-4B45-8866-940C11FBE1B5}"/>
            </c:ext>
          </c:extLst>
        </c:ser>
        <c:ser>
          <c:idx val="22"/>
          <c:order val="22"/>
          <c:tx>
            <c:strRef>
              <c:f>Plot!$I$14</c:f>
              <c:strCache>
                <c:ptCount val="1"/>
                <c:pt idx="0">
                  <c:v>23.a</c:v>
                </c:pt>
              </c:strCache>
            </c:strRef>
          </c:tx>
          <c:spPr>
            <a:ln w="12700" cap="rnd">
              <a:solidFill>
                <a:srgbClr val="0000FF"/>
              </a:solidFill>
              <a:round/>
            </a:ln>
            <a:effectLst/>
          </c:spPr>
          <c:marker>
            <c:symbol val="circle"/>
            <c:size val="5"/>
            <c:spPr>
              <a:noFill/>
              <a:ln w="9525">
                <a:noFill/>
              </a:ln>
              <a:effectLst/>
            </c:spPr>
          </c:marker>
          <c:xVal>
            <c:numRef>
              <c:f>Plot!$J$14:$K$14</c:f>
              <c:numCache>
                <c:formatCode>#,##0.0_ ;[Red]\-#,##0.0\ </c:formatCode>
                <c:ptCount val="2"/>
                <c:pt idx="0">
                  <c:v>1.3412999999999999</c:v>
                </c:pt>
                <c:pt idx="1">
                  <c:v>1.3412999999999999</c:v>
                </c:pt>
              </c:numCache>
            </c:numRef>
          </c:xVal>
          <c:yVal>
            <c:numRef>
              <c:f>Plot!$L$14:$M$14</c:f>
              <c:numCache>
                <c:formatCode>#,##0.0_ ;[Red]\-#,##0.0\ </c:formatCode>
                <c:ptCount val="2"/>
                <c:pt idx="0">
                  <c:v>0.78899999999999992</c:v>
                </c:pt>
                <c:pt idx="1">
                  <c:v>1.3149999999999999</c:v>
                </c:pt>
              </c:numCache>
            </c:numRef>
          </c:yVal>
          <c:smooth val="0"/>
          <c:extLst>
            <c:ext xmlns:c16="http://schemas.microsoft.com/office/drawing/2014/chart" uri="{C3380CC4-5D6E-409C-BE32-E72D297353CC}">
              <c16:uniqueId val="{0000002A-C020-4B45-8866-940C11FBE1B5}"/>
            </c:ext>
          </c:extLst>
        </c:ser>
        <c:ser>
          <c:idx val="23"/>
          <c:order val="23"/>
          <c:tx>
            <c:strRef>
              <c:f>Plot!$N$14</c:f>
              <c:strCache>
                <c:ptCount val="1"/>
                <c:pt idx="0">
                  <c:v>23.b</c:v>
                </c:pt>
              </c:strCache>
            </c:strRef>
          </c:tx>
          <c:spPr>
            <a:ln w="12700" cap="rnd">
              <a:solidFill>
                <a:srgbClr val="0000FF"/>
              </a:solidFill>
              <a:round/>
            </a:ln>
            <a:effectLst/>
          </c:spPr>
          <c:marker>
            <c:symbol val="circle"/>
            <c:size val="5"/>
            <c:spPr>
              <a:noFill/>
              <a:ln w="9525">
                <a:noFill/>
              </a:ln>
              <a:effectLst/>
            </c:spPr>
          </c:marker>
          <c:xVal>
            <c:numRef>
              <c:f>Plot!$O$14:$P$14</c:f>
              <c:numCache>
                <c:formatCode>#,##0.0_ ;[Red]\-#,##0.0\ </c:formatCode>
                <c:ptCount val="2"/>
                <c:pt idx="0">
                  <c:v>1.3412999999999999</c:v>
                </c:pt>
                <c:pt idx="1">
                  <c:v>1.3412999999999999</c:v>
                </c:pt>
              </c:numCache>
            </c:numRef>
          </c:xVal>
          <c:yVal>
            <c:numRef>
              <c:f>Plot!$Q$14:$R$14</c:f>
              <c:numCache>
                <c:formatCode>#,##0.0_ ;[Red]\-#,##0.0\ </c:formatCode>
                <c:ptCount val="2"/>
                <c:pt idx="0">
                  <c:v>1.3149999999999999</c:v>
                </c:pt>
                <c:pt idx="1">
                  <c:v>1.9724999999999999</c:v>
                </c:pt>
              </c:numCache>
            </c:numRef>
          </c:yVal>
          <c:smooth val="0"/>
          <c:extLst>
            <c:ext xmlns:c16="http://schemas.microsoft.com/office/drawing/2014/chart" uri="{C3380CC4-5D6E-409C-BE32-E72D297353CC}">
              <c16:uniqueId val="{0000002B-C020-4B45-8866-940C11FBE1B5}"/>
            </c:ext>
          </c:extLst>
        </c:ser>
        <c:ser>
          <c:idx val="24"/>
          <c:order val="24"/>
          <c:tx>
            <c:strRef>
              <c:f>Plot!$I$15</c:f>
              <c:strCache>
                <c:ptCount val="1"/>
                <c:pt idx="0">
                  <c:v>24.a</c:v>
                </c:pt>
              </c:strCache>
            </c:strRef>
          </c:tx>
          <c:spPr>
            <a:ln w="12700" cap="rnd">
              <a:solidFill>
                <a:srgbClr val="0000FF"/>
              </a:solidFill>
              <a:prstDash val="solid"/>
              <a:round/>
            </a:ln>
            <a:effectLst/>
          </c:spPr>
          <c:marker>
            <c:symbol val="circle"/>
            <c:size val="5"/>
            <c:spPr>
              <a:noFill/>
              <a:ln w="9525">
                <a:noFill/>
              </a:ln>
              <a:effectLst/>
            </c:spPr>
          </c:marker>
          <c:xVal>
            <c:numRef>
              <c:f>Plot!$J$15:$K$15</c:f>
              <c:numCache>
                <c:formatCode>#,##0.0_ ;[Red]\-#,##0.0\ </c:formatCode>
                <c:ptCount val="2"/>
                <c:pt idx="0">
                  <c:v>1.3412999999999999</c:v>
                </c:pt>
                <c:pt idx="1">
                  <c:v>1.3412999999999999</c:v>
                </c:pt>
              </c:numCache>
            </c:numRef>
          </c:xVal>
          <c:yVal>
            <c:numRef>
              <c:f>Plot!$L$15:$M$15</c:f>
              <c:numCache>
                <c:formatCode>#,##0.0_ ;[Red]\-#,##0.0\ </c:formatCode>
                <c:ptCount val="2"/>
                <c:pt idx="0">
                  <c:v>0.78899999999999992</c:v>
                </c:pt>
                <c:pt idx="1">
                  <c:v>1.3149999999999999</c:v>
                </c:pt>
              </c:numCache>
            </c:numRef>
          </c:yVal>
          <c:smooth val="0"/>
          <c:extLst>
            <c:ext xmlns:c16="http://schemas.microsoft.com/office/drawing/2014/chart" uri="{C3380CC4-5D6E-409C-BE32-E72D297353CC}">
              <c16:uniqueId val="{0000002C-C020-4B45-8866-940C11FBE1B5}"/>
            </c:ext>
          </c:extLst>
        </c:ser>
        <c:ser>
          <c:idx val="25"/>
          <c:order val="25"/>
          <c:tx>
            <c:strRef>
              <c:f>Plot!$N$15</c:f>
              <c:strCache>
                <c:ptCount val="1"/>
                <c:pt idx="0">
                  <c:v>24.b</c:v>
                </c:pt>
              </c:strCache>
            </c:strRef>
          </c:tx>
          <c:spPr>
            <a:ln w="12700" cap="rnd">
              <a:solidFill>
                <a:srgbClr val="0000FF"/>
              </a:solidFill>
              <a:prstDash val="solid"/>
              <a:round/>
            </a:ln>
            <a:effectLst/>
          </c:spPr>
          <c:marker>
            <c:symbol val="circle"/>
            <c:size val="5"/>
            <c:spPr>
              <a:noFill/>
              <a:ln w="9525">
                <a:noFill/>
              </a:ln>
              <a:effectLst/>
            </c:spPr>
          </c:marker>
          <c:xVal>
            <c:numRef>
              <c:f>Plot!$O$15:$P$15</c:f>
              <c:numCache>
                <c:formatCode>#,##0.0_ ;[Red]\-#,##0.0\ </c:formatCode>
                <c:ptCount val="2"/>
                <c:pt idx="0">
                  <c:v>1.3412999999999999</c:v>
                </c:pt>
                <c:pt idx="1">
                  <c:v>1.3412999999999999</c:v>
                </c:pt>
              </c:numCache>
            </c:numRef>
          </c:xVal>
          <c:yVal>
            <c:numRef>
              <c:f>Plot!$Q$15:$R$15</c:f>
              <c:numCache>
                <c:formatCode>#,##0.0_ ;[Red]\-#,##0.0\ </c:formatCode>
                <c:ptCount val="2"/>
                <c:pt idx="0">
                  <c:v>1.3149999999999999</c:v>
                </c:pt>
                <c:pt idx="1">
                  <c:v>1.9724999999999999</c:v>
                </c:pt>
              </c:numCache>
            </c:numRef>
          </c:yVal>
          <c:smooth val="0"/>
          <c:extLst>
            <c:ext xmlns:c16="http://schemas.microsoft.com/office/drawing/2014/chart" uri="{C3380CC4-5D6E-409C-BE32-E72D297353CC}">
              <c16:uniqueId val="{0000002D-C020-4B45-8866-940C11FBE1B5}"/>
            </c:ext>
          </c:extLst>
        </c:ser>
        <c:ser>
          <c:idx val="49"/>
          <c:order val="26"/>
          <c:tx>
            <c:strRef>
              <c:f>Plot!$I$16</c:f>
              <c:strCache>
                <c:ptCount val="1"/>
                <c:pt idx="0">
                  <c:v>31.a</c:v>
                </c:pt>
              </c:strCache>
            </c:strRef>
          </c:tx>
          <c:spPr>
            <a:ln w="12700" cap="rnd">
              <a:solidFill>
                <a:srgbClr val="0000FF"/>
              </a:solidFill>
              <a:round/>
            </a:ln>
            <a:effectLst/>
          </c:spPr>
          <c:marker>
            <c:symbol val="circle"/>
            <c:size val="5"/>
            <c:spPr>
              <a:noFill/>
              <a:ln w="9525">
                <a:noFill/>
              </a:ln>
              <a:effectLst/>
            </c:spPr>
          </c:marker>
          <c:xVal>
            <c:numRef>
              <c:f>Plot!$J$16:$K$16</c:f>
              <c:numCache>
                <c:formatCode>#,##0.0_ ;[Red]\-#,##0.0\ </c:formatCode>
                <c:ptCount val="2"/>
                <c:pt idx="0">
                  <c:v>18</c:v>
                </c:pt>
                <c:pt idx="1">
                  <c:v>18</c:v>
                </c:pt>
              </c:numCache>
            </c:numRef>
          </c:xVal>
          <c:yVal>
            <c:numRef>
              <c:f>Plot!$L$16:$M$16</c:f>
              <c:numCache>
                <c:formatCode>#,##0.0_ ;[Red]\-#,##0.0\ </c:formatCode>
                <c:ptCount val="2"/>
                <c:pt idx="0">
                  <c:v>10</c:v>
                </c:pt>
                <c:pt idx="1">
                  <c:v>15</c:v>
                </c:pt>
              </c:numCache>
            </c:numRef>
          </c:yVal>
          <c:smooth val="0"/>
          <c:extLst>
            <c:ext xmlns:c16="http://schemas.microsoft.com/office/drawing/2014/chart" uri="{C3380CC4-5D6E-409C-BE32-E72D297353CC}">
              <c16:uniqueId val="{0000002E-C020-4B45-8866-940C11FBE1B5}"/>
            </c:ext>
          </c:extLst>
        </c:ser>
        <c:ser>
          <c:idx val="50"/>
          <c:order val="27"/>
          <c:tx>
            <c:strRef>
              <c:f>Plot!$N$16</c:f>
              <c:strCache>
                <c:ptCount val="1"/>
                <c:pt idx="0">
                  <c:v>31.b</c:v>
                </c:pt>
              </c:strCache>
            </c:strRef>
          </c:tx>
          <c:spPr>
            <a:ln w="12700" cap="rnd">
              <a:solidFill>
                <a:srgbClr val="0000FF"/>
              </a:solidFill>
              <a:round/>
            </a:ln>
            <a:effectLst/>
          </c:spPr>
          <c:marker>
            <c:symbol val="circle"/>
            <c:size val="5"/>
            <c:spPr>
              <a:noFill/>
              <a:ln w="9525">
                <a:noFill/>
              </a:ln>
              <a:effectLst/>
            </c:spPr>
          </c:marker>
          <c:xVal>
            <c:numRef>
              <c:f>Plot!$O$16:$P$16</c:f>
              <c:numCache>
                <c:formatCode>#,##0.0_ ;[Red]\-#,##0.0\ </c:formatCode>
                <c:ptCount val="2"/>
                <c:pt idx="0">
                  <c:v>18</c:v>
                </c:pt>
                <c:pt idx="1">
                  <c:v>18</c:v>
                </c:pt>
              </c:numCache>
            </c:numRef>
          </c:xVal>
          <c:yVal>
            <c:numRef>
              <c:f>Plot!$Q$16:$R$16</c:f>
              <c:numCache>
                <c:formatCode>#,##0.0_ ;[Red]\-#,##0.0\ </c:formatCode>
                <c:ptCount val="2"/>
                <c:pt idx="0">
                  <c:v>15</c:v>
                </c:pt>
                <c:pt idx="1">
                  <c:v>35</c:v>
                </c:pt>
              </c:numCache>
            </c:numRef>
          </c:yVal>
          <c:smooth val="0"/>
          <c:extLst>
            <c:ext xmlns:c16="http://schemas.microsoft.com/office/drawing/2014/chart" uri="{C3380CC4-5D6E-409C-BE32-E72D297353CC}">
              <c16:uniqueId val="{0000002F-C020-4B45-8866-940C11FBE1B5}"/>
            </c:ext>
          </c:extLst>
        </c:ser>
        <c:ser>
          <c:idx val="51"/>
          <c:order val="28"/>
          <c:tx>
            <c:strRef>
              <c:f>Plot!$I$17</c:f>
              <c:strCache>
                <c:ptCount val="1"/>
                <c:pt idx="0">
                  <c:v>32.a</c:v>
                </c:pt>
              </c:strCache>
            </c:strRef>
          </c:tx>
          <c:spPr>
            <a:ln w="12700" cap="rnd">
              <a:solidFill>
                <a:srgbClr val="0000FF"/>
              </a:solidFill>
              <a:round/>
            </a:ln>
            <a:effectLst/>
          </c:spPr>
          <c:marker>
            <c:symbol val="circle"/>
            <c:size val="5"/>
            <c:spPr>
              <a:noFill/>
              <a:ln w="9525">
                <a:noFill/>
              </a:ln>
              <a:effectLst/>
            </c:spPr>
          </c:marker>
          <c:xVal>
            <c:numRef>
              <c:f>Plot!$J$17:$K$17</c:f>
              <c:numCache>
                <c:formatCode>#,##0.0_ ;[Red]\-#,##0.0\ </c:formatCode>
                <c:ptCount val="2"/>
                <c:pt idx="0">
                  <c:v>2</c:v>
                </c:pt>
                <c:pt idx="1">
                  <c:v>2</c:v>
                </c:pt>
              </c:numCache>
            </c:numRef>
          </c:xVal>
          <c:yVal>
            <c:numRef>
              <c:f>Plot!$L$17:$M$17</c:f>
              <c:numCache>
                <c:formatCode>#,##0.0_ ;[Red]\-#,##0.0\ </c:formatCode>
                <c:ptCount val="2"/>
                <c:pt idx="0">
                  <c:v>1</c:v>
                </c:pt>
                <c:pt idx="1">
                  <c:v>2</c:v>
                </c:pt>
              </c:numCache>
            </c:numRef>
          </c:yVal>
          <c:smooth val="0"/>
          <c:extLst>
            <c:ext xmlns:c16="http://schemas.microsoft.com/office/drawing/2014/chart" uri="{C3380CC4-5D6E-409C-BE32-E72D297353CC}">
              <c16:uniqueId val="{00000030-C020-4B45-8866-940C11FBE1B5}"/>
            </c:ext>
          </c:extLst>
        </c:ser>
        <c:ser>
          <c:idx val="52"/>
          <c:order val="29"/>
          <c:tx>
            <c:strRef>
              <c:f>Plot!$N$17</c:f>
              <c:strCache>
                <c:ptCount val="1"/>
                <c:pt idx="0">
                  <c:v>32.b</c:v>
                </c:pt>
              </c:strCache>
            </c:strRef>
          </c:tx>
          <c:spPr>
            <a:ln w="12700" cap="rnd">
              <a:solidFill>
                <a:srgbClr val="0000FF"/>
              </a:solidFill>
              <a:round/>
            </a:ln>
            <a:effectLst/>
          </c:spPr>
          <c:marker>
            <c:symbol val="circle"/>
            <c:size val="5"/>
            <c:spPr>
              <a:noFill/>
              <a:ln w="9525">
                <a:noFill/>
              </a:ln>
              <a:effectLst/>
            </c:spPr>
          </c:marker>
          <c:xVal>
            <c:numRef>
              <c:f>Plot!$O$17:$P$17</c:f>
              <c:numCache>
                <c:formatCode>#,##0.0_ ;[Red]\-#,##0.0\ </c:formatCode>
                <c:ptCount val="2"/>
                <c:pt idx="0">
                  <c:v>2</c:v>
                </c:pt>
                <c:pt idx="1">
                  <c:v>2</c:v>
                </c:pt>
              </c:numCache>
            </c:numRef>
          </c:xVal>
          <c:yVal>
            <c:numRef>
              <c:f>Plot!$Q$17:$R$17</c:f>
              <c:numCache>
                <c:formatCode>#,##0.0_ ;[Red]\-#,##0.0\ </c:formatCode>
                <c:ptCount val="2"/>
                <c:pt idx="0">
                  <c:v>2</c:v>
                </c:pt>
                <c:pt idx="1">
                  <c:v>3</c:v>
                </c:pt>
              </c:numCache>
            </c:numRef>
          </c:yVal>
          <c:smooth val="0"/>
          <c:extLst>
            <c:ext xmlns:c16="http://schemas.microsoft.com/office/drawing/2014/chart" uri="{C3380CC4-5D6E-409C-BE32-E72D297353CC}">
              <c16:uniqueId val="{00000031-C020-4B45-8866-940C11FBE1B5}"/>
            </c:ext>
          </c:extLst>
        </c:ser>
        <c:ser>
          <c:idx val="45"/>
          <c:order val="30"/>
          <c:tx>
            <c:strRef>
              <c:f>Plot!$I$18</c:f>
              <c:strCache>
                <c:ptCount val="1"/>
                <c:pt idx="0">
                  <c:v>33.a</c:v>
                </c:pt>
              </c:strCache>
            </c:strRef>
          </c:tx>
          <c:spPr>
            <a:ln w="25400" cap="rnd">
              <a:noFill/>
              <a:round/>
            </a:ln>
            <a:effectLst/>
          </c:spPr>
          <c:marker>
            <c:symbol val="circle"/>
            <c:size val="5"/>
            <c:spPr>
              <a:solidFill>
                <a:schemeClr val="accent4">
                  <a:lumMod val="70000"/>
                </a:schemeClr>
              </a:solidFill>
              <a:ln w="9525">
                <a:solidFill>
                  <a:schemeClr val="accent4">
                    <a:lumMod val="70000"/>
                  </a:schemeClr>
                </a:solidFill>
              </a:ln>
              <a:effectLst/>
            </c:spPr>
          </c:marker>
          <c:xVal>
            <c:numRef>
              <c:f>Plot!$J$18:$K$18</c:f>
              <c:numCache>
                <c:formatCode>#,##0.0_ ;[Red]\-#,##0.0\ </c:formatCode>
                <c:ptCount val="2"/>
                <c:pt idx="0">
                  <c:v>4.8</c:v>
                </c:pt>
                <c:pt idx="1">
                  <c:v>4.8</c:v>
                </c:pt>
              </c:numCache>
            </c:numRef>
          </c:xVal>
          <c:yVal>
            <c:numRef>
              <c:f>Plot!$L$18:$M$18</c:f>
              <c:numCache>
                <c:formatCode>#,##0.0_ ;[Red]\-#,##0.0\ </c:formatCode>
                <c:ptCount val="2"/>
                <c:pt idx="0">
                  <c:v>1</c:v>
                </c:pt>
                <c:pt idx="1">
                  <c:v>5</c:v>
                </c:pt>
              </c:numCache>
            </c:numRef>
          </c:yVal>
          <c:smooth val="0"/>
          <c:extLst>
            <c:ext xmlns:c16="http://schemas.microsoft.com/office/drawing/2014/chart" uri="{C3380CC4-5D6E-409C-BE32-E72D297353CC}">
              <c16:uniqueId val="{00000064-C020-4B45-8866-940C11FBE1B5}"/>
            </c:ext>
          </c:extLst>
        </c:ser>
        <c:ser>
          <c:idx val="54"/>
          <c:order val="31"/>
          <c:tx>
            <c:strRef>
              <c:f>Plot!$N$18</c:f>
              <c:strCache>
                <c:ptCount val="1"/>
                <c:pt idx="0">
                  <c:v>33.b</c:v>
                </c:pt>
              </c:strCache>
            </c:strRef>
          </c:tx>
          <c:spPr>
            <a:ln w="12700" cap="rnd">
              <a:solidFill>
                <a:srgbClr val="0000FF"/>
              </a:solidFill>
              <a:round/>
            </a:ln>
            <a:effectLst/>
          </c:spPr>
          <c:marker>
            <c:symbol val="circle"/>
            <c:size val="5"/>
            <c:spPr>
              <a:noFill/>
              <a:ln w="9525">
                <a:noFill/>
              </a:ln>
              <a:effectLst/>
            </c:spPr>
          </c:marker>
          <c:xVal>
            <c:numRef>
              <c:f>Plot!$O$18:$P$18</c:f>
              <c:numCache>
                <c:formatCode>#,##0.0_ ;[Red]\-#,##0.0\ </c:formatCode>
                <c:ptCount val="2"/>
                <c:pt idx="0">
                  <c:v>4.8</c:v>
                </c:pt>
                <c:pt idx="1">
                  <c:v>4.8</c:v>
                </c:pt>
              </c:numCache>
            </c:numRef>
          </c:xVal>
          <c:yVal>
            <c:numRef>
              <c:f>Plot!$Q$18:$R$18</c:f>
              <c:numCache>
                <c:formatCode>#,##0.0_ ;[Red]\-#,##0.0\ </c:formatCode>
                <c:ptCount val="2"/>
                <c:pt idx="0">
                  <c:v>5</c:v>
                </c:pt>
                <c:pt idx="1">
                  <c:v>8</c:v>
                </c:pt>
              </c:numCache>
            </c:numRef>
          </c:yVal>
          <c:smooth val="0"/>
          <c:extLst>
            <c:ext xmlns:c16="http://schemas.microsoft.com/office/drawing/2014/chart" uri="{C3380CC4-5D6E-409C-BE32-E72D297353CC}">
              <c16:uniqueId val="{00000033-C020-4B45-8866-940C11FBE1B5}"/>
            </c:ext>
          </c:extLst>
        </c:ser>
        <c:ser>
          <c:idx val="55"/>
          <c:order val="32"/>
          <c:tx>
            <c:strRef>
              <c:f>Plot!$I$19</c:f>
              <c:strCache>
                <c:ptCount val="1"/>
                <c:pt idx="0">
                  <c:v>34.a</c:v>
                </c:pt>
              </c:strCache>
            </c:strRef>
          </c:tx>
          <c:spPr>
            <a:ln w="12700" cap="rnd">
              <a:solidFill>
                <a:srgbClr val="0000FF"/>
              </a:solidFill>
              <a:round/>
            </a:ln>
            <a:effectLst/>
          </c:spPr>
          <c:marker>
            <c:symbol val="circle"/>
            <c:size val="5"/>
            <c:spPr>
              <a:noFill/>
              <a:ln w="9525">
                <a:noFill/>
              </a:ln>
              <a:effectLst/>
            </c:spPr>
          </c:marker>
          <c:dPt>
            <c:idx val="1"/>
            <c:marker>
              <c:symbol val="circle"/>
              <c:size val="5"/>
              <c:spPr>
                <a:noFill/>
                <a:ln w="9525">
                  <a:noFill/>
                </a:ln>
                <a:effectLst/>
              </c:spPr>
            </c:marker>
            <c:bubble3D val="0"/>
            <c:spPr>
              <a:ln w="12700" cap="rnd">
                <a:solidFill>
                  <a:srgbClr val="0000FF"/>
                </a:solidFill>
                <a:round/>
              </a:ln>
              <a:effectLst/>
            </c:spPr>
            <c:extLst>
              <c:ext xmlns:c16="http://schemas.microsoft.com/office/drawing/2014/chart" uri="{C3380CC4-5D6E-409C-BE32-E72D297353CC}">
                <c16:uniqueId val="{00000035-C020-4B45-8866-940C11FBE1B5}"/>
              </c:ext>
            </c:extLst>
          </c:dPt>
          <c:xVal>
            <c:numRef>
              <c:f>Plot!$J$19:$K$19</c:f>
              <c:numCache>
                <c:formatCode>#,##0.0_ ;[Red]\-#,##0.0\ </c:formatCode>
                <c:ptCount val="2"/>
                <c:pt idx="0">
                  <c:v>2.2000000000000002</c:v>
                </c:pt>
                <c:pt idx="1">
                  <c:v>2.2000000000000002</c:v>
                </c:pt>
              </c:numCache>
            </c:numRef>
          </c:xVal>
          <c:yVal>
            <c:numRef>
              <c:f>Plot!$L$19:$M$19</c:f>
              <c:numCache>
                <c:formatCode>#,##0.0_ ;[Red]\-#,##0.0\ </c:formatCode>
                <c:ptCount val="2"/>
                <c:pt idx="0">
                  <c:v>1</c:v>
                </c:pt>
                <c:pt idx="1">
                  <c:v>2</c:v>
                </c:pt>
              </c:numCache>
            </c:numRef>
          </c:yVal>
          <c:smooth val="0"/>
          <c:extLst>
            <c:ext xmlns:c16="http://schemas.microsoft.com/office/drawing/2014/chart" uri="{C3380CC4-5D6E-409C-BE32-E72D297353CC}">
              <c16:uniqueId val="{00000036-C020-4B45-8866-940C11FBE1B5}"/>
            </c:ext>
          </c:extLst>
        </c:ser>
        <c:ser>
          <c:idx val="56"/>
          <c:order val="33"/>
          <c:tx>
            <c:strRef>
              <c:f>Plot!$N$19</c:f>
              <c:strCache>
                <c:ptCount val="1"/>
                <c:pt idx="0">
                  <c:v>34.b</c:v>
                </c:pt>
              </c:strCache>
            </c:strRef>
          </c:tx>
          <c:spPr>
            <a:ln w="12700" cap="rnd">
              <a:solidFill>
                <a:srgbClr val="0000FF"/>
              </a:solidFill>
              <a:round/>
            </a:ln>
            <a:effectLst/>
          </c:spPr>
          <c:marker>
            <c:symbol val="circle"/>
            <c:size val="5"/>
            <c:spPr>
              <a:noFill/>
              <a:ln w="9525">
                <a:noFill/>
              </a:ln>
              <a:effectLst/>
            </c:spPr>
          </c:marker>
          <c:xVal>
            <c:numRef>
              <c:f>Plot!$O$19:$P$19</c:f>
              <c:numCache>
                <c:formatCode>#,##0.0_ ;[Red]\-#,##0.0\ </c:formatCode>
                <c:ptCount val="2"/>
                <c:pt idx="0">
                  <c:v>2.2000000000000002</c:v>
                </c:pt>
                <c:pt idx="1">
                  <c:v>2.2000000000000002</c:v>
                </c:pt>
              </c:numCache>
            </c:numRef>
          </c:xVal>
          <c:yVal>
            <c:numRef>
              <c:f>Plot!$Q$19:$R$19</c:f>
              <c:numCache>
                <c:formatCode>#,##0.0_ ;[Red]\-#,##0.0\ </c:formatCode>
                <c:ptCount val="2"/>
                <c:pt idx="0">
                  <c:v>2</c:v>
                </c:pt>
                <c:pt idx="1">
                  <c:v>4</c:v>
                </c:pt>
              </c:numCache>
            </c:numRef>
          </c:yVal>
          <c:smooth val="0"/>
          <c:extLst>
            <c:ext xmlns:c16="http://schemas.microsoft.com/office/drawing/2014/chart" uri="{C3380CC4-5D6E-409C-BE32-E72D297353CC}">
              <c16:uniqueId val="{00000037-C020-4B45-8866-940C11FBE1B5}"/>
            </c:ext>
          </c:extLst>
        </c:ser>
        <c:ser>
          <c:idx val="57"/>
          <c:order val="34"/>
          <c:tx>
            <c:strRef>
              <c:f>Plot!$I$20</c:f>
              <c:strCache>
                <c:ptCount val="1"/>
                <c:pt idx="0">
                  <c:v>35.a</c:v>
                </c:pt>
              </c:strCache>
            </c:strRef>
          </c:tx>
          <c:spPr>
            <a:ln w="12700" cap="rnd">
              <a:solidFill>
                <a:srgbClr val="0000FF"/>
              </a:solidFill>
              <a:round/>
            </a:ln>
            <a:effectLst/>
          </c:spPr>
          <c:marker>
            <c:symbol val="circle"/>
            <c:size val="5"/>
            <c:spPr>
              <a:noFill/>
              <a:ln w="9525">
                <a:noFill/>
              </a:ln>
              <a:effectLst/>
            </c:spPr>
          </c:marker>
          <c:xVal>
            <c:numRef>
              <c:f>Plot!$J$20:$K$20</c:f>
              <c:numCache>
                <c:formatCode>#,##0.0_ ;[Red]\-#,##0.0\ </c:formatCode>
                <c:ptCount val="2"/>
                <c:pt idx="0">
                  <c:v>2.1</c:v>
                </c:pt>
                <c:pt idx="1">
                  <c:v>2.1</c:v>
                </c:pt>
              </c:numCache>
            </c:numRef>
          </c:xVal>
          <c:yVal>
            <c:numRef>
              <c:f>Plot!$L$20:$M$20</c:f>
              <c:numCache>
                <c:formatCode>#,##0.0_ ;[Red]\-#,##0.0\ </c:formatCode>
                <c:ptCount val="2"/>
                <c:pt idx="0">
                  <c:v>1.5</c:v>
                </c:pt>
                <c:pt idx="1">
                  <c:v>2</c:v>
                </c:pt>
              </c:numCache>
            </c:numRef>
          </c:yVal>
          <c:smooth val="0"/>
          <c:extLst>
            <c:ext xmlns:c16="http://schemas.microsoft.com/office/drawing/2014/chart" uri="{C3380CC4-5D6E-409C-BE32-E72D297353CC}">
              <c16:uniqueId val="{00000038-C020-4B45-8866-940C11FBE1B5}"/>
            </c:ext>
          </c:extLst>
        </c:ser>
        <c:ser>
          <c:idx val="58"/>
          <c:order val="35"/>
          <c:tx>
            <c:strRef>
              <c:f>Plot!$N$20</c:f>
              <c:strCache>
                <c:ptCount val="1"/>
                <c:pt idx="0">
                  <c:v>35.b</c:v>
                </c:pt>
              </c:strCache>
            </c:strRef>
          </c:tx>
          <c:spPr>
            <a:ln w="12700" cap="rnd">
              <a:solidFill>
                <a:srgbClr val="0000FF"/>
              </a:solidFill>
              <a:round/>
            </a:ln>
            <a:effectLst/>
          </c:spPr>
          <c:marker>
            <c:symbol val="circle"/>
            <c:size val="5"/>
            <c:spPr>
              <a:noFill/>
              <a:ln w="9525">
                <a:noFill/>
              </a:ln>
              <a:effectLst/>
            </c:spPr>
          </c:marker>
          <c:xVal>
            <c:numRef>
              <c:f>Plot!$O$20:$P$20</c:f>
              <c:numCache>
                <c:formatCode>#,##0.0_ ;[Red]\-#,##0.0\ </c:formatCode>
                <c:ptCount val="2"/>
                <c:pt idx="0">
                  <c:v>2.1</c:v>
                </c:pt>
                <c:pt idx="1">
                  <c:v>2.1</c:v>
                </c:pt>
              </c:numCache>
            </c:numRef>
          </c:xVal>
          <c:yVal>
            <c:numRef>
              <c:f>Plot!$Q$20:$R$20</c:f>
              <c:numCache>
                <c:formatCode>#,##0.0_ ;[Red]\-#,##0.0\ </c:formatCode>
                <c:ptCount val="2"/>
                <c:pt idx="0">
                  <c:v>2</c:v>
                </c:pt>
                <c:pt idx="1">
                  <c:v>3</c:v>
                </c:pt>
              </c:numCache>
            </c:numRef>
          </c:yVal>
          <c:smooth val="0"/>
          <c:extLst>
            <c:ext xmlns:c16="http://schemas.microsoft.com/office/drawing/2014/chart" uri="{C3380CC4-5D6E-409C-BE32-E72D297353CC}">
              <c16:uniqueId val="{00000039-C020-4B45-8866-940C11FBE1B5}"/>
            </c:ext>
          </c:extLst>
        </c:ser>
        <c:ser>
          <c:idx val="59"/>
          <c:order val="36"/>
          <c:tx>
            <c:strRef>
              <c:f>Plot!$I$21</c:f>
              <c:strCache>
                <c:ptCount val="1"/>
                <c:pt idx="0">
                  <c:v>36.a</c:v>
                </c:pt>
              </c:strCache>
            </c:strRef>
          </c:tx>
          <c:spPr>
            <a:ln w="12700" cap="rnd">
              <a:solidFill>
                <a:srgbClr val="0000FF"/>
              </a:solidFill>
              <a:round/>
            </a:ln>
            <a:effectLst/>
          </c:spPr>
          <c:marker>
            <c:symbol val="circle"/>
            <c:size val="5"/>
            <c:spPr>
              <a:noFill/>
              <a:ln w="9525">
                <a:noFill/>
              </a:ln>
              <a:effectLst/>
            </c:spPr>
          </c:marker>
          <c:xVal>
            <c:numRef>
              <c:f>Plot!$J$21:$K$21</c:f>
              <c:numCache>
                <c:formatCode>#,##0.0_ ;[Red]\-#,##0.0\ </c:formatCode>
                <c:ptCount val="2"/>
                <c:pt idx="0">
                  <c:v>1.08</c:v>
                </c:pt>
                <c:pt idx="1">
                  <c:v>1.08</c:v>
                </c:pt>
              </c:numCache>
            </c:numRef>
          </c:xVal>
          <c:yVal>
            <c:numRef>
              <c:f>Plot!$L$21:$M$21</c:f>
              <c:numCache>
                <c:formatCode>#,##0.0_ ;[Red]\-#,##0.0\ </c:formatCode>
                <c:ptCount val="2"/>
                <c:pt idx="0">
                  <c:v>0.9</c:v>
                </c:pt>
                <c:pt idx="1">
                  <c:v>1</c:v>
                </c:pt>
              </c:numCache>
            </c:numRef>
          </c:yVal>
          <c:smooth val="0"/>
          <c:extLst>
            <c:ext xmlns:c16="http://schemas.microsoft.com/office/drawing/2014/chart" uri="{C3380CC4-5D6E-409C-BE32-E72D297353CC}">
              <c16:uniqueId val="{0000003A-C020-4B45-8866-940C11FBE1B5}"/>
            </c:ext>
          </c:extLst>
        </c:ser>
        <c:ser>
          <c:idx val="60"/>
          <c:order val="37"/>
          <c:tx>
            <c:strRef>
              <c:f>Plot!$N$21</c:f>
              <c:strCache>
                <c:ptCount val="1"/>
                <c:pt idx="0">
                  <c:v>36.b</c:v>
                </c:pt>
              </c:strCache>
            </c:strRef>
          </c:tx>
          <c:spPr>
            <a:ln w="12700" cap="rnd">
              <a:solidFill>
                <a:srgbClr val="0000FF"/>
              </a:solidFill>
              <a:round/>
            </a:ln>
            <a:effectLst/>
          </c:spPr>
          <c:marker>
            <c:symbol val="circle"/>
            <c:size val="5"/>
            <c:spPr>
              <a:noFill/>
              <a:ln w="9525">
                <a:noFill/>
              </a:ln>
              <a:effectLst/>
            </c:spPr>
          </c:marker>
          <c:xVal>
            <c:numRef>
              <c:f>Plot!$O$21:$P$21</c:f>
              <c:numCache>
                <c:formatCode>#,##0.0_ ;[Red]\-#,##0.0\ </c:formatCode>
                <c:ptCount val="2"/>
                <c:pt idx="0">
                  <c:v>1.08</c:v>
                </c:pt>
                <c:pt idx="1">
                  <c:v>1.08</c:v>
                </c:pt>
              </c:numCache>
            </c:numRef>
          </c:xVal>
          <c:yVal>
            <c:numRef>
              <c:f>Plot!$Q$21:$R$21</c:f>
              <c:numCache>
                <c:formatCode>#,##0.0_ ;[Red]\-#,##0.0\ </c:formatCode>
                <c:ptCount val="2"/>
                <c:pt idx="0">
                  <c:v>1</c:v>
                </c:pt>
                <c:pt idx="1">
                  <c:v>1.5</c:v>
                </c:pt>
              </c:numCache>
            </c:numRef>
          </c:yVal>
          <c:smooth val="0"/>
          <c:extLst>
            <c:ext xmlns:c16="http://schemas.microsoft.com/office/drawing/2014/chart" uri="{C3380CC4-5D6E-409C-BE32-E72D297353CC}">
              <c16:uniqueId val="{0000003B-C020-4B45-8866-940C11FBE1B5}"/>
            </c:ext>
          </c:extLst>
        </c:ser>
        <c:ser>
          <c:idx val="61"/>
          <c:order val="38"/>
          <c:tx>
            <c:strRef>
              <c:f>Plot!$I$22</c:f>
              <c:strCache>
                <c:ptCount val="1"/>
                <c:pt idx="0">
                  <c:v>37.a</c:v>
                </c:pt>
              </c:strCache>
            </c:strRef>
          </c:tx>
          <c:spPr>
            <a:ln w="12700" cap="rnd">
              <a:solidFill>
                <a:srgbClr val="0000FF"/>
              </a:solidFill>
              <a:round/>
            </a:ln>
            <a:effectLst/>
          </c:spPr>
          <c:marker>
            <c:symbol val="circle"/>
            <c:size val="5"/>
            <c:spPr>
              <a:noFill/>
              <a:ln w="9525">
                <a:noFill/>
              </a:ln>
              <a:effectLst/>
            </c:spPr>
          </c:marker>
          <c:xVal>
            <c:numRef>
              <c:f>Plot!$J$22:$K$22</c:f>
              <c:numCache>
                <c:formatCode>#,##0.0_ ;[Red]\-#,##0.0\ </c:formatCode>
                <c:ptCount val="2"/>
                <c:pt idx="0">
                  <c:v>1</c:v>
                </c:pt>
                <c:pt idx="1">
                  <c:v>1</c:v>
                </c:pt>
              </c:numCache>
            </c:numRef>
          </c:xVal>
          <c:yVal>
            <c:numRef>
              <c:f>Plot!$L$22:$M$22</c:f>
              <c:numCache>
                <c:formatCode>#,##0.0_ ;[Red]\-#,##0.0\ </c:formatCode>
                <c:ptCount val="2"/>
                <c:pt idx="0">
                  <c:v>0.5</c:v>
                </c:pt>
                <c:pt idx="1">
                  <c:v>1</c:v>
                </c:pt>
              </c:numCache>
            </c:numRef>
          </c:yVal>
          <c:smooth val="0"/>
          <c:extLst>
            <c:ext xmlns:c16="http://schemas.microsoft.com/office/drawing/2014/chart" uri="{C3380CC4-5D6E-409C-BE32-E72D297353CC}">
              <c16:uniqueId val="{0000003C-C020-4B45-8866-940C11FBE1B5}"/>
            </c:ext>
          </c:extLst>
        </c:ser>
        <c:ser>
          <c:idx val="62"/>
          <c:order val="39"/>
          <c:tx>
            <c:strRef>
              <c:f>Plot!$N$22</c:f>
              <c:strCache>
                <c:ptCount val="1"/>
                <c:pt idx="0">
                  <c:v>37.b</c:v>
                </c:pt>
              </c:strCache>
            </c:strRef>
          </c:tx>
          <c:spPr>
            <a:ln w="12700" cap="rnd">
              <a:solidFill>
                <a:srgbClr val="0000FF"/>
              </a:solidFill>
              <a:round/>
            </a:ln>
            <a:effectLst/>
          </c:spPr>
          <c:marker>
            <c:symbol val="circle"/>
            <c:size val="5"/>
            <c:spPr>
              <a:noFill/>
              <a:ln w="9525">
                <a:noFill/>
              </a:ln>
              <a:effectLst/>
            </c:spPr>
          </c:marker>
          <c:xVal>
            <c:numRef>
              <c:f>Plot!$O$22:$P$22</c:f>
              <c:numCache>
                <c:formatCode>#,##0.0_ ;[Red]\-#,##0.0\ </c:formatCode>
                <c:ptCount val="2"/>
                <c:pt idx="0">
                  <c:v>1</c:v>
                </c:pt>
                <c:pt idx="1">
                  <c:v>1</c:v>
                </c:pt>
              </c:numCache>
            </c:numRef>
          </c:xVal>
          <c:yVal>
            <c:numRef>
              <c:f>Plot!$Q$22:$R$22</c:f>
              <c:numCache>
                <c:formatCode>#,##0.0_ ;[Red]\-#,##0.0\ </c:formatCode>
                <c:ptCount val="2"/>
                <c:pt idx="0">
                  <c:v>1</c:v>
                </c:pt>
                <c:pt idx="1">
                  <c:v>1.5</c:v>
                </c:pt>
              </c:numCache>
            </c:numRef>
          </c:yVal>
          <c:smooth val="0"/>
          <c:extLst>
            <c:ext xmlns:c16="http://schemas.microsoft.com/office/drawing/2014/chart" uri="{C3380CC4-5D6E-409C-BE32-E72D297353CC}">
              <c16:uniqueId val="{0000003D-C020-4B45-8866-940C11FBE1B5}"/>
            </c:ext>
          </c:extLst>
        </c:ser>
        <c:ser>
          <c:idx val="63"/>
          <c:order val="40"/>
          <c:tx>
            <c:strRef>
              <c:f>Plot!$I$23</c:f>
              <c:strCache>
                <c:ptCount val="1"/>
                <c:pt idx="0">
                  <c:v>38.a</c:v>
                </c:pt>
              </c:strCache>
            </c:strRef>
          </c:tx>
          <c:spPr>
            <a:ln w="12700" cap="rnd">
              <a:solidFill>
                <a:srgbClr val="0000FF"/>
              </a:solidFill>
              <a:round/>
            </a:ln>
            <a:effectLst/>
          </c:spPr>
          <c:marker>
            <c:symbol val="circle"/>
            <c:size val="5"/>
            <c:spPr>
              <a:noFill/>
              <a:ln w="9525">
                <a:solidFill>
                  <a:schemeClr val="accent4">
                    <a:lumMod val="60000"/>
                  </a:schemeClr>
                </a:solidFill>
              </a:ln>
              <a:effectLst/>
            </c:spPr>
          </c:marker>
          <c:xVal>
            <c:numRef>
              <c:f>Plot!$J$23:$K$23</c:f>
              <c:numCache>
                <c:formatCode>#,##0.0_ ;[Red]\-#,##0.0\ </c:formatCode>
                <c:ptCount val="2"/>
                <c:pt idx="0">
                  <c:v>8.0796903000000011</c:v>
                </c:pt>
                <c:pt idx="1">
                  <c:v>8.0796903000000011</c:v>
                </c:pt>
              </c:numCache>
            </c:numRef>
          </c:xVal>
          <c:yVal>
            <c:numRef>
              <c:f>Plot!$L$23:$M$23</c:f>
              <c:numCache>
                <c:formatCode>#,##0.0_ ;[Red]\-#,##0.0\ </c:formatCode>
                <c:ptCount val="2"/>
                <c:pt idx="0">
                  <c:v>4.7527590000000002</c:v>
                </c:pt>
                <c:pt idx="1">
                  <c:v>7.921265</c:v>
                </c:pt>
              </c:numCache>
            </c:numRef>
          </c:yVal>
          <c:smooth val="0"/>
          <c:extLst>
            <c:ext xmlns:c16="http://schemas.microsoft.com/office/drawing/2014/chart" uri="{C3380CC4-5D6E-409C-BE32-E72D297353CC}">
              <c16:uniqueId val="{0000003E-C020-4B45-8866-940C11FBE1B5}"/>
            </c:ext>
          </c:extLst>
        </c:ser>
        <c:ser>
          <c:idx val="64"/>
          <c:order val="41"/>
          <c:tx>
            <c:strRef>
              <c:f>Plot!$N$23</c:f>
              <c:strCache>
                <c:ptCount val="1"/>
                <c:pt idx="0">
                  <c:v>38.b</c:v>
                </c:pt>
              </c:strCache>
            </c:strRef>
          </c:tx>
          <c:spPr>
            <a:ln w="12700" cap="rnd">
              <a:solidFill>
                <a:srgbClr val="0000FF"/>
              </a:solidFill>
              <a:round/>
            </a:ln>
            <a:effectLst/>
          </c:spPr>
          <c:marker>
            <c:symbol val="circle"/>
            <c:size val="5"/>
            <c:spPr>
              <a:noFill/>
              <a:ln w="9525">
                <a:noFill/>
              </a:ln>
              <a:effectLst/>
            </c:spPr>
          </c:marker>
          <c:xVal>
            <c:numRef>
              <c:f>Plot!$O$23:$P$23</c:f>
              <c:numCache>
                <c:formatCode>#,##0.0_ ;[Red]\-#,##0.0\ </c:formatCode>
                <c:ptCount val="2"/>
                <c:pt idx="0">
                  <c:v>8.0796903000000011</c:v>
                </c:pt>
                <c:pt idx="1">
                  <c:v>8.0796903000000011</c:v>
                </c:pt>
              </c:numCache>
            </c:numRef>
          </c:xVal>
          <c:yVal>
            <c:numRef>
              <c:f>Plot!$Q$23:$R$23</c:f>
              <c:numCache>
                <c:formatCode>#,##0.0_ ;[Red]\-#,##0.0\ </c:formatCode>
                <c:ptCount val="2"/>
                <c:pt idx="0">
                  <c:v>7.921265</c:v>
                </c:pt>
                <c:pt idx="1">
                  <c:v>11.881897500000001</c:v>
                </c:pt>
              </c:numCache>
            </c:numRef>
          </c:yVal>
          <c:smooth val="0"/>
          <c:extLst>
            <c:ext xmlns:c16="http://schemas.microsoft.com/office/drawing/2014/chart" uri="{C3380CC4-5D6E-409C-BE32-E72D297353CC}">
              <c16:uniqueId val="{0000003F-C020-4B45-8866-940C11FBE1B5}"/>
            </c:ext>
          </c:extLst>
        </c:ser>
        <c:ser>
          <c:idx val="26"/>
          <c:order val="42"/>
          <c:tx>
            <c:strRef>
              <c:f>Plot!$I$24</c:f>
              <c:strCache>
                <c:ptCount val="1"/>
                <c:pt idx="0">
                  <c:v>40.a</c:v>
                </c:pt>
              </c:strCache>
            </c:strRef>
          </c:tx>
          <c:spPr>
            <a:ln w="12700" cap="rnd">
              <a:solidFill>
                <a:srgbClr val="0000FF"/>
              </a:solidFill>
              <a:prstDash val="solid"/>
              <a:round/>
            </a:ln>
            <a:effectLst/>
          </c:spPr>
          <c:marker>
            <c:symbol val="circle"/>
            <c:size val="5"/>
            <c:spPr>
              <a:noFill/>
              <a:ln w="9525">
                <a:noFill/>
              </a:ln>
              <a:effectLst/>
            </c:spPr>
          </c:marker>
          <c:xVal>
            <c:numRef>
              <c:f>Plot!$J$24:$K$24</c:f>
              <c:numCache>
                <c:formatCode>#,##0.0_ ;[Red]\-#,##0.0\ </c:formatCode>
                <c:ptCount val="2"/>
                <c:pt idx="0">
                  <c:v>46</c:v>
                </c:pt>
                <c:pt idx="1">
                  <c:v>46</c:v>
                </c:pt>
              </c:numCache>
            </c:numRef>
          </c:xVal>
          <c:yVal>
            <c:numRef>
              <c:f>Plot!$L$24:$M$24</c:f>
              <c:numCache>
                <c:formatCode>#,##0.0_ ;[Red]\-#,##0.0\ </c:formatCode>
                <c:ptCount val="2"/>
                <c:pt idx="0">
                  <c:v>20</c:v>
                </c:pt>
                <c:pt idx="1">
                  <c:v>45</c:v>
                </c:pt>
              </c:numCache>
            </c:numRef>
          </c:yVal>
          <c:smooth val="0"/>
          <c:extLst>
            <c:ext xmlns:c16="http://schemas.microsoft.com/office/drawing/2014/chart" uri="{C3380CC4-5D6E-409C-BE32-E72D297353CC}">
              <c16:uniqueId val="{00000040-C020-4B45-8866-940C11FBE1B5}"/>
            </c:ext>
          </c:extLst>
        </c:ser>
        <c:ser>
          <c:idx val="27"/>
          <c:order val="43"/>
          <c:tx>
            <c:strRef>
              <c:f>Plot!$N$24</c:f>
              <c:strCache>
                <c:ptCount val="1"/>
                <c:pt idx="0">
                  <c:v>40.b</c:v>
                </c:pt>
              </c:strCache>
            </c:strRef>
          </c:tx>
          <c:spPr>
            <a:ln w="12700" cap="rnd">
              <a:solidFill>
                <a:srgbClr val="0000FF"/>
              </a:solidFill>
              <a:prstDash val="solid"/>
              <a:round/>
            </a:ln>
            <a:effectLst/>
          </c:spPr>
          <c:marker>
            <c:symbol val="circle"/>
            <c:size val="5"/>
            <c:spPr>
              <a:noFill/>
              <a:ln w="9525">
                <a:noFill/>
              </a:ln>
              <a:effectLst/>
            </c:spPr>
          </c:marker>
          <c:xVal>
            <c:numRef>
              <c:f>Plot!$O$24:$P$24</c:f>
              <c:numCache>
                <c:formatCode>#,##0.0_ ;[Red]\-#,##0.0\ </c:formatCode>
                <c:ptCount val="2"/>
                <c:pt idx="0">
                  <c:v>46</c:v>
                </c:pt>
                <c:pt idx="1">
                  <c:v>46</c:v>
                </c:pt>
              </c:numCache>
            </c:numRef>
          </c:xVal>
          <c:yVal>
            <c:numRef>
              <c:f>Plot!$Q$24:$R$24</c:f>
              <c:numCache>
                <c:formatCode>#,##0.0_ ;[Red]\-#,##0.0\ </c:formatCode>
                <c:ptCount val="2"/>
                <c:pt idx="0">
                  <c:v>45</c:v>
                </c:pt>
                <c:pt idx="1">
                  <c:v>75</c:v>
                </c:pt>
              </c:numCache>
            </c:numRef>
          </c:yVal>
          <c:smooth val="0"/>
          <c:extLst>
            <c:ext xmlns:c16="http://schemas.microsoft.com/office/drawing/2014/chart" uri="{C3380CC4-5D6E-409C-BE32-E72D297353CC}">
              <c16:uniqueId val="{00000041-C020-4B45-8866-940C11FBE1B5}"/>
            </c:ext>
          </c:extLst>
        </c:ser>
        <c:ser>
          <c:idx val="82"/>
          <c:order val="44"/>
          <c:tx>
            <c:strRef>
              <c:f>Plot!$I$25</c:f>
              <c:strCache>
                <c:ptCount val="1"/>
                <c:pt idx="0">
                  <c:v>97.a</c:v>
                </c:pt>
              </c:strCache>
            </c:strRef>
          </c:tx>
          <c:spPr>
            <a:ln w="12700" cap="rnd">
              <a:solidFill>
                <a:srgbClr val="0000FF"/>
              </a:solidFill>
              <a:round/>
            </a:ln>
            <a:effectLst/>
          </c:spPr>
          <c:marker>
            <c:symbol val="circle"/>
            <c:size val="5"/>
            <c:spPr>
              <a:solidFill>
                <a:schemeClr val="accent1"/>
              </a:solidFill>
              <a:ln w="9525">
                <a:noFill/>
              </a:ln>
              <a:effectLst/>
            </c:spPr>
          </c:marker>
          <c:xVal>
            <c:numRef>
              <c:f>Plot!$J$25:$K$25</c:f>
              <c:numCache>
                <c:formatCode>#,##0.0_ ;[Red]\-#,##0.0\ </c:formatCode>
                <c:ptCount val="2"/>
                <c:pt idx="0">
                  <c:v>2.5299999999999998</c:v>
                </c:pt>
                <c:pt idx="1">
                  <c:v>2.5299999999999998</c:v>
                </c:pt>
              </c:numCache>
            </c:numRef>
          </c:xVal>
          <c:yVal>
            <c:numRef>
              <c:f>Plot!$L$25:$M$25</c:f>
              <c:numCache>
                <c:formatCode>#,##0.0_ ;[Red]\-#,##0.0\ </c:formatCode>
                <c:ptCount val="2"/>
                <c:pt idx="0">
                  <c:v>0.32404215815442194</c:v>
                </c:pt>
                <c:pt idx="1">
                  <c:v>2.5299999999999998</c:v>
                </c:pt>
              </c:numCache>
            </c:numRef>
          </c:yVal>
          <c:smooth val="0"/>
          <c:extLst>
            <c:ext xmlns:c16="http://schemas.microsoft.com/office/drawing/2014/chart" uri="{C3380CC4-5D6E-409C-BE32-E72D297353CC}">
              <c16:uniqueId val="{00000072-C020-4B45-8866-940C11FBE1B5}"/>
            </c:ext>
          </c:extLst>
        </c:ser>
        <c:ser>
          <c:idx val="83"/>
          <c:order val="45"/>
          <c:tx>
            <c:strRef>
              <c:f>Plot!$N$25</c:f>
              <c:strCache>
                <c:ptCount val="1"/>
                <c:pt idx="0">
                  <c:v>97.b</c:v>
                </c:pt>
              </c:strCache>
            </c:strRef>
          </c:tx>
          <c:spPr>
            <a:ln w="12700" cap="rnd">
              <a:solidFill>
                <a:srgbClr val="0000FF"/>
              </a:solidFill>
              <a:round/>
            </a:ln>
            <a:effectLst/>
          </c:spPr>
          <c:marker>
            <c:symbol val="circle"/>
            <c:size val="5"/>
            <c:spPr>
              <a:solidFill>
                <a:schemeClr val="accent1"/>
              </a:solidFill>
              <a:ln w="9525">
                <a:noFill/>
              </a:ln>
              <a:effectLst/>
            </c:spPr>
          </c:marker>
          <c:xVal>
            <c:numRef>
              <c:f>Plot!$O$25:$P$25</c:f>
              <c:numCache>
                <c:formatCode>#,##0.0_ ;[Red]\-#,##0.0\ </c:formatCode>
                <c:ptCount val="2"/>
                <c:pt idx="0">
                  <c:v>2.5299999999999998</c:v>
                </c:pt>
                <c:pt idx="1">
                  <c:v>2.5299999999999998</c:v>
                </c:pt>
              </c:numCache>
            </c:numRef>
          </c:xVal>
          <c:yVal>
            <c:numRef>
              <c:f>Plot!$Q$25:$R$25</c:f>
              <c:numCache>
                <c:formatCode>#,##0.0_ ;[Red]\-#,##0.0\ </c:formatCode>
                <c:ptCount val="2"/>
                <c:pt idx="0">
                  <c:v>2.5299999999999998</c:v>
                </c:pt>
                <c:pt idx="1">
                  <c:v>4.7359578418455772</c:v>
                </c:pt>
              </c:numCache>
            </c:numRef>
          </c:yVal>
          <c:smooth val="0"/>
          <c:extLst>
            <c:ext xmlns:c16="http://schemas.microsoft.com/office/drawing/2014/chart" uri="{C3380CC4-5D6E-409C-BE32-E72D297353CC}">
              <c16:uniqueId val="{00000073-C020-4B45-8866-940C11FBE1B5}"/>
            </c:ext>
          </c:extLst>
        </c:ser>
        <c:ser>
          <c:idx val="86"/>
          <c:order val="46"/>
          <c:tx>
            <c:strRef>
              <c:f>Plot!$I$26</c:f>
              <c:strCache>
                <c:ptCount val="1"/>
                <c:pt idx="0">
                  <c:v>#REF!</c:v>
                </c:pt>
              </c:strCache>
            </c:strRef>
          </c:tx>
          <c:spPr>
            <a:ln w="12700" cap="rnd">
              <a:solidFill>
                <a:srgbClr val="0000FF"/>
              </a:solidFill>
              <a:round/>
            </a:ln>
            <a:effectLst/>
          </c:spPr>
          <c:marker>
            <c:symbol val="circle"/>
            <c:size val="5"/>
            <c:spPr>
              <a:solidFill>
                <a:schemeClr val="accent1"/>
              </a:solidFill>
              <a:ln w="9525">
                <a:noFill/>
              </a:ln>
              <a:effectLst/>
            </c:spPr>
          </c:marker>
          <c:xVal>
            <c:numRef>
              <c:f>Plot!$J$26:$K$26</c:f>
              <c:numCache>
                <c:formatCode>#,##0.0_ ;[Red]\-#,##0.0\ </c:formatCode>
                <c:ptCount val="2"/>
                <c:pt idx="0">
                  <c:v>0</c:v>
                </c:pt>
                <c:pt idx="1">
                  <c:v>0</c:v>
                </c:pt>
              </c:numCache>
            </c:numRef>
          </c:xVal>
          <c:yVal>
            <c:numRef>
              <c:f>Plot!$L$26:$M$26</c:f>
              <c:numCache>
                <c:formatCode>#,##0.0_ ;[Red]\-#,##0.0\ </c:formatCode>
                <c:ptCount val="2"/>
                <c:pt idx="0">
                  <c:v>0</c:v>
                </c:pt>
                <c:pt idx="1">
                  <c:v>0</c:v>
                </c:pt>
              </c:numCache>
            </c:numRef>
          </c:yVal>
          <c:smooth val="0"/>
          <c:extLst>
            <c:ext xmlns:c16="http://schemas.microsoft.com/office/drawing/2014/chart" uri="{C3380CC4-5D6E-409C-BE32-E72D297353CC}">
              <c16:uniqueId val="{00000076-C020-4B45-8866-940C11FBE1B5}"/>
            </c:ext>
          </c:extLst>
        </c:ser>
        <c:ser>
          <c:idx val="87"/>
          <c:order val="47"/>
          <c:tx>
            <c:strRef>
              <c:f>Plot!$N$26</c:f>
              <c:strCache>
                <c:ptCount val="1"/>
                <c:pt idx="0">
                  <c:v>#REF!</c:v>
                </c:pt>
              </c:strCache>
            </c:strRef>
          </c:tx>
          <c:spPr>
            <a:ln w="12700" cap="rnd">
              <a:solidFill>
                <a:srgbClr val="0000FF"/>
              </a:solidFill>
              <a:round/>
            </a:ln>
            <a:effectLst/>
          </c:spPr>
          <c:marker>
            <c:symbol val="circle"/>
            <c:size val="5"/>
            <c:spPr>
              <a:solidFill>
                <a:schemeClr val="accent1"/>
              </a:solidFill>
              <a:ln w="9525">
                <a:noFill/>
              </a:ln>
              <a:effectLst/>
            </c:spPr>
          </c:marker>
          <c:xVal>
            <c:numRef>
              <c:f>Plot!$O$26:$P$26</c:f>
              <c:numCache>
                <c:formatCode>#,##0.0_ ;[Red]\-#,##0.0\ </c:formatCode>
                <c:ptCount val="2"/>
                <c:pt idx="0">
                  <c:v>0</c:v>
                </c:pt>
                <c:pt idx="1">
                  <c:v>0</c:v>
                </c:pt>
              </c:numCache>
            </c:numRef>
          </c:xVal>
          <c:yVal>
            <c:numRef>
              <c:f>Plot!$Q$26:$R$26</c:f>
              <c:numCache>
                <c:formatCode>#,##0.0_ ;[Red]\-#,##0.0\ </c:formatCode>
                <c:ptCount val="2"/>
                <c:pt idx="0">
                  <c:v>0</c:v>
                </c:pt>
                <c:pt idx="1">
                  <c:v>0</c:v>
                </c:pt>
              </c:numCache>
            </c:numRef>
          </c:yVal>
          <c:smooth val="0"/>
          <c:extLst>
            <c:ext xmlns:c16="http://schemas.microsoft.com/office/drawing/2014/chart" uri="{C3380CC4-5D6E-409C-BE32-E72D297353CC}">
              <c16:uniqueId val="{00000077-C020-4B45-8866-940C11FBE1B5}"/>
            </c:ext>
          </c:extLst>
        </c:ser>
        <c:ser>
          <c:idx val="84"/>
          <c:order val="48"/>
          <c:tx>
            <c:strRef>
              <c:f>Plot!$I$27</c:f>
              <c:strCache>
                <c:ptCount val="1"/>
                <c:pt idx="0">
                  <c:v>#REF!</c:v>
                </c:pt>
              </c:strCache>
            </c:strRef>
          </c:tx>
          <c:spPr>
            <a:ln w="12700" cap="rnd">
              <a:solidFill>
                <a:srgbClr val="0000FF"/>
              </a:solidFill>
              <a:round/>
            </a:ln>
            <a:effectLst/>
          </c:spPr>
          <c:marker>
            <c:symbol val="circle"/>
            <c:size val="5"/>
            <c:spPr>
              <a:solidFill>
                <a:schemeClr val="accent1"/>
              </a:solidFill>
              <a:ln w="9525">
                <a:noFill/>
              </a:ln>
              <a:effectLst/>
            </c:spPr>
          </c:marker>
          <c:xVal>
            <c:numRef>
              <c:f>Plot!$J$27:$K$27</c:f>
              <c:numCache>
                <c:formatCode>#,##0.0_ ;[Red]\-#,##0.0\ </c:formatCode>
                <c:ptCount val="2"/>
                <c:pt idx="0">
                  <c:v>0</c:v>
                </c:pt>
                <c:pt idx="1">
                  <c:v>0</c:v>
                </c:pt>
              </c:numCache>
            </c:numRef>
          </c:xVal>
          <c:yVal>
            <c:numRef>
              <c:f>Plot!$L$27:$M$27</c:f>
              <c:numCache>
                <c:formatCode>#,##0.0_ ;[Red]\-#,##0.0\ </c:formatCode>
                <c:ptCount val="2"/>
                <c:pt idx="0">
                  <c:v>0</c:v>
                </c:pt>
                <c:pt idx="1">
                  <c:v>0</c:v>
                </c:pt>
              </c:numCache>
            </c:numRef>
          </c:yVal>
          <c:smooth val="0"/>
          <c:extLst>
            <c:ext xmlns:c16="http://schemas.microsoft.com/office/drawing/2014/chart" uri="{C3380CC4-5D6E-409C-BE32-E72D297353CC}">
              <c16:uniqueId val="{00000074-C020-4B45-8866-940C11FBE1B5}"/>
            </c:ext>
          </c:extLst>
        </c:ser>
        <c:ser>
          <c:idx val="85"/>
          <c:order val="49"/>
          <c:tx>
            <c:strRef>
              <c:f>Plot!$N$27</c:f>
              <c:strCache>
                <c:ptCount val="1"/>
                <c:pt idx="0">
                  <c:v>#REF!</c:v>
                </c:pt>
              </c:strCache>
            </c:strRef>
          </c:tx>
          <c:spPr>
            <a:ln w="12700" cap="rnd">
              <a:solidFill>
                <a:srgbClr val="0000FF"/>
              </a:solidFill>
              <a:round/>
            </a:ln>
            <a:effectLst/>
          </c:spPr>
          <c:marker>
            <c:symbol val="circle"/>
            <c:size val="5"/>
            <c:spPr>
              <a:solidFill>
                <a:schemeClr val="accent1"/>
              </a:solidFill>
              <a:ln w="9525">
                <a:noFill/>
              </a:ln>
              <a:effectLst/>
            </c:spPr>
          </c:marker>
          <c:xVal>
            <c:numRef>
              <c:f>Plot!$O$27:$P$27</c:f>
              <c:numCache>
                <c:formatCode>#,##0.0_ ;[Red]\-#,##0.0\ </c:formatCode>
                <c:ptCount val="2"/>
                <c:pt idx="0">
                  <c:v>0</c:v>
                </c:pt>
                <c:pt idx="1">
                  <c:v>0</c:v>
                </c:pt>
              </c:numCache>
            </c:numRef>
          </c:xVal>
          <c:yVal>
            <c:numRef>
              <c:f>Plot!$Q$27:$R$27</c:f>
              <c:numCache>
                <c:formatCode>#,##0.0_ ;[Red]\-#,##0.0\ </c:formatCode>
                <c:ptCount val="2"/>
                <c:pt idx="0">
                  <c:v>0</c:v>
                </c:pt>
                <c:pt idx="1">
                  <c:v>0</c:v>
                </c:pt>
              </c:numCache>
            </c:numRef>
          </c:yVal>
          <c:smooth val="0"/>
          <c:extLst>
            <c:ext xmlns:c16="http://schemas.microsoft.com/office/drawing/2014/chart" uri="{C3380CC4-5D6E-409C-BE32-E72D297353CC}">
              <c16:uniqueId val="{00000075-C020-4B45-8866-940C11FBE1B5}"/>
            </c:ext>
          </c:extLst>
        </c:ser>
        <c:ser>
          <c:idx val="28"/>
          <c:order val="50"/>
          <c:tx>
            <c:strRef>
              <c:f>Plot!$F$34</c:f>
              <c:strCache>
                <c:ptCount val="1"/>
                <c:pt idx="0">
                  <c:v>Min(OF)</c:v>
                </c:pt>
              </c:strCache>
            </c:strRef>
          </c:tx>
          <c:spPr>
            <a:ln w="25400" cap="rnd">
              <a:noFill/>
              <a:round/>
            </a:ln>
            <a:effectLst/>
          </c:spPr>
          <c:marker>
            <c:symbol val="circle"/>
            <c:size val="5"/>
            <c:spPr>
              <a:solidFill>
                <a:schemeClr val="accent2"/>
              </a:solidFill>
              <a:ln w="9525">
                <a:noFill/>
              </a:ln>
              <a:effectLst/>
            </c:spPr>
          </c:marker>
          <c:xVal>
            <c:numRef>
              <c:f>Plot!$E$35:$E$44</c:f>
              <c:numCache>
                <c:formatCode>#,##0.0_ ;[Red]\-#,##0.0\ </c:formatCode>
                <c:ptCount val="10"/>
                <c:pt idx="0">
                  <c:v>14</c:v>
                </c:pt>
                <c:pt idx="1">
                  <c:v>5</c:v>
                </c:pt>
                <c:pt idx="2">
                  <c:v>14</c:v>
                </c:pt>
                <c:pt idx="3">
                  <c:v>8.5</c:v>
                </c:pt>
                <c:pt idx="4">
                  <c:v>-4</c:v>
                </c:pt>
                <c:pt idx="5">
                  <c:v>16</c:v>
                </c:pt>
                <c:pt idx="6">
                  <c:v>6</c:v>
                </c:pt>
                <c:pt idx="7">
                  <c:v>19</c:v>
                </c:pt>
                <c:pt idx="8">
                  <c:v>11</c:v>
                </c:pt>
                <c:pt idx="9">
                  <c:v>17</c:v>
                </c:pt>
              </c:numCache>
            </c:numRef>
          </c:xVal>
          <c:yVal>
            <c:numRef>
              <c:f>Plot!$F$35:$F$44</c:f>
              <c:numCache>
                <c:formatCode>#,##0.0_ ;[Red]\-#,##0.0\ </c:formatCode>
                <c:ptCount val="10"/>
                <c:pt idx="0">
                  <c:v>-35</c:v>
                </c:pt>
                <c:pt idx="1">
                  <c:v>-25</c:v>
                </c:pt>
                <c:pt idx="2">
                  <c:v>-50</c:v>
                </c:pt>
                <c:pt idx="3">
                  <c:v>-5</c:v>
                </c:pt>
                <c:pt idx="4">
                  <c:v>-15</c:v>
                </c:pt>
                <c:pt idx="5">
                  <c:v>-25</c:v>
                </c:pt>
                <c:pt idx="6">
                  <c:v>-10</c:v>
                </c:pt>
                <c:pt idx="7">
                  <c:v>-25</c:v>
                </c:pt>
                <c:pt idx="8">
                  <c:v>-25</c:v>
                </c:pt>
                <c:pt idx="9">
                  <c:v>5</c:v>
                </c:pt>
              </c:numCache>
            </c:numRef>
          </c:yVal>
          <c:smooth val="0"/>
          <c:extLst>
            <c:ext xmlns:c16="http://schemas.microsoft.com/office/drawing/2014/chart" uri="{C3380CC4-5D6E-409C-BE32-E72D297353CC}">
              <c16:uniqueId val="{00000042-C020-4B45-8866-940C11FBE1B5}"/>
            </c:ext>
          </c:extLst>
        </c:ser>
        <c:ser>
          <c:idx val="29"/>
          <c:order val="51"/>
          <c:tx>
            <c:strRef>
              <c:f>Plot!$G$34</c:f>
              <c:strCache>
                <c:ptCount val="1"/>
                <c:pt idx="0">
                  <c:v>M.L.(OF)</c:v>
                </c:pt>
              </c:strCache>
            </c:strRef>
          </c:tx>
          <c:spPr>
            <a:ln w="25400" cap="rnd">
              <a:noFill/>
              <a:round/>
            </a:ln>
            <a:effectLst/>
          </c:spPr>
          <c:marker>
            <c:symbol val="circle"/>
            <c:size val="5"/>
            <c:spPr>
              <a:solidFill>
                <a:schemeClr val="accent2"/>
              </a:solidFill>
              <a:ln w="9525">
                <a:noFill/>
              </a:ln>
              <a:effectLst/>
            </c:spPr>
          </c:marker>
          <c:xVal>
            <c:numRef>
              <c:f>Plot!$E$35:$E$44</c:f>
              <c:numCache>
                <c:formatCode>#,##0.0_ ;[Red]\-#,##0.0\ </c:formatCode>
                <c:ptCount val="10"/>
                <c:pt idx="0">
                  <c:v>14</c:v>
                </c:pt>
                <c:pt idx="1">
                  <c:v>5</c:v>
                </c:pt>
                <c:pt idx="2">
                  <c:v>14</c:v>
                </c:pt>
                <c:pt idx="3">
                  <c:v>8.5</c:v>
                </c:pt>
                <c:pt idx="4">
                  <c:v>-4</c:v>
                </c:pt>
                <c:pt idx="5">
                  <c:v>16</c:v>
                </c:pt>
                <c:pt idx="6">
                  <c:v>6</c:v>
                </c:pt>
                <c:pt idx="7">
                  <c:v>19</c:v>
                </c:pt>
                <c:pt idx="8">
                  <c:v>11</c:v>
                </c:pt>
                <c:pt idx="9">
                  <c:v>17</c:v>
                </c:pt>
              </c:numCache>
            </c:numRef>
          </c:xVal>
          <c:yVal>
            <c:numRef>
              <c:f>Plot!$G$35:$G$44</c:f>
              <c:numCache>
                <c:formatCode>#,##0.0_ ;[Red]\-#,##0.0\ </c:formatCode>
                <c:ptCount val="10"/>
                <c:pt idx="0">
                  <c:v>10</c:v>
                </c:pt>
                <c:pt idx="1">
                  <c:v>0</c:v>
                </c:pt>
                <c:pt idx="2">
                  <c:v>10</c:v>
                </c:pt>
                <c:pt idx="3">
                  <c:v>10</c:v>
                </c:pt>
                <c:pt idx="4">
                  <c:v>-5</c:v>
                </c:pt>
                <c:pt idx="5">
                  <c:v>10</c:v>
                </c:pt>
                <c:pt idx="6">
                  <c:v>5</c:v>
                </c:pt>
                <c:pt idx="7">
                  <c:v>15</c:v>
                </c:pt>
                <c:pt idx="8">
                  <c:v>10</c:v>
                </c:pt>
                <c:pt idx="9">
                  <c:v>15</c:v>
                </c:pt>
              </c:numCache>
            </c:numRef>
          </c:yVal>
          <c:smooth val="0"/>
          <c:extLst>
            <c:ext xmlns:c16="http://schemas.microsoft.com/office/drawing/2014/chart" uri="{C3380CC4-5D6E-409C-BE32-E72D297353CC}">
              <c16:uniqueId val="{00000043-C020-4B45-8866-940C11FBE1B5}"/>
            </c:ext>
          </c:extLst>
        </c:ser>
        <c:ser>
          <c:idx val="30"/>
          <c:order val="52"/>
          <c:tx>
            <c:strRef>
              <c:f>Plot!$H$34</c:f>
              <c:strCache>
                <c:ptCount val="1"/>
                <c:pt idx="0">
                  <c:v>Max(OF)</c:v>
                </c:pt>
              </c:strCache>
            </c:strRef>
          </c:tx>
          <c:spPr>
            <a:ln w="25400" cap="rnd">
              <a:noFill/>
              <a:round/>
            </a:ln>
            <a:effectLst/>
          </c:spPr>
          <c:marker>
            <c:symbol val="circle"/>
            <c:size val="5"/>
            <c:spPr>
              <a:solidFill>
                <a:schemeClr val="accent2"/>
              </a:solidFill>
              <a:ln w="9525">
                <a:solidFill>
                  <a:schemeClr val="accent2"/>
                </a:solidFill>
              </a:ln>
              <a:effectLst/>
            </c:spPr>
          </c:marker>
          <c:dLbls>
            <c:dLbl>
              <c:idx val="0"/>
              <c:tx>
                <c:rich>
                  <a:bodyPr/>
                  <a:lstStyle/>
                  <a:p>
                    <a:fld id="{AF6A6B0E-84A1-4640-8BBB-C5F8C4897415}" type="CELLRANGE">
                      <a:rPr lang="en-US"/>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4-C020-4B45-8866-940C11FBE1B5}"/>
                </c:ext>
              </c:extLst>
            </c:dLbl>
            <c:dLbl>
              <c:idx val="1"/>
              <c:tx>
                <c:rich>
                  <a:bodyPr/>
                  <a:lstStyle/>
                  <a:p>
                    <a:fld id="{0558BFD5-9D09-49C0-941D-6F0CB860ECD6}"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5-C020-4B45-8866-940C11FBE1B5}"/>
                </c:ext>
              </c:extLst>
            </c:dLbl>
            <c:dLbl>
              <c:idx val="2"/>
              <c:tx>
                <c:rich>
                  <a:bodyPr/>
                  <a:lstStyle/>
                  <a:p>
                    <a:fld id="{47E50B6A-D317-41E2-89AC-5ED33FE15B5F}"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6-C020-4B45-8866-940C11FBE1B5}"/>
                </c:ext>
              </c:extLst>
            </c:dLbl>
            <c:dLbl>
              <c:idx val="3"/>
              <c:tx>
                <c:rich>
                  <a:bodyPr/>
                  <a:lstStyle/>
                  <a:p>
                    <a:fld id="{290BDD25-AA40-4F52-AED6-0535A99B3694}"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C020-4B45-8866-940C11FBE1B5}"/>
                </c:ext>
              </c:extLst>
            </c:dLbl>
            <c:dLbl>
              <c:idx val="4"/>
              <c:tx>
                <c:rich>
                  <a:bodyPr/>
                  <a:lstStyle/>
                  <a:p>
                    <a:fld id="{AAD869FA-B964-4E2F-A78B-3993673ADDAE}"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8-C020-4B45-8866-940C11FBE1B5}"/>
                </c:ext>
              </c:extLst>
            </c:dLbl>
            <c:dLbl>
              <c:idx val="5"/>
              <c:tx>
                <c:rich>
                  <a:bodyPr/>
                  <a:lstStyle/>
                  <a:p>
                    <a:fld id="{900916EE-4B79-468F-A6BC-EB9305909FE6}"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9-C020-4B45-8866-940C11FBE1B5}"/>
                </c:ext>
              </c:extLst>
            </c:dLbl>
            <c:dLbl>
              <c:idx val="6"/>
              <c:tx>
                <c:rich>
                  <a:bodyPr/>
                  <a:lstStyle/>
                  <a:p>
                    <a:fld id="{3189B7F1-A125-442C-A8ED-CF03780F2CEE}"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A-C020-4B45-8866-940C11FBE1B5}"/>
                </c:ext>
              </c:extLst>
            </c:dLbl>
            <c:dLbl>
              <c:idx val="7"/>
              <c:tx>
                <c:rich>
                  <a:bodyPr/>
                  <a:lstStyle/>
                  <a:p>
                    <a:fld id="{CEEEAA87-24AA-40D8-8F58-EAB4DF9951A7}"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B-C020-4B45-8866-940C11FBE1B5}"/>
                </c:ext>
              </c:extLst>
            </c:dLbl>
            <c:dLbl>
              <c:idx val="8"/>
              <c:tx>
                <c:rich>
                  <a:bodyPr/>
                  <a:lstStyle/>
                  <a:p>
                    <a:fld id="{B37A34CB-65F0-4FE4-B751-C8EDDA0DE717}"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C-C020-4B45-8866-940C11FBE1B5}"/>
                </c:ext>
              </c:extLst>
            </c:dLbl>
            <c:dLbl>
              <c:idx val="9"/>
              <c:tx>
                <c:rich>
                  <a:bodyPr/>
                  <a:lstStyle/>
                  <a:p>
                    <a:fld id="{88DC224B-49BE-40B9-A7AD-FD75E0C6E135}" type="CELLRANGE">
                      <a:rPr lang="en-DK"/>
                      <a:pPr/>
                      <a:t>[CELLRANGE]</a:t>
                    </a:fld>
                    <a:endParaRPr lang="en-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D-C020-4B45-8866-940C11FBE1B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DK"/>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Plot!$E$35:$E$44</c:f>
              <c:numCache>
                <c:formatCode>#,##0.0_ ;[Red]\-#,##0.0\ </c:formatCode>
                <c:ptCount val="10"/>
                <c:pt idx="0">
                  <c:v>14</c:v>
                </c:pt>
                <c:pt idx="1">
                  <c:v>5</c:v>
                </c:pt>
                <c:pt idx="2">
                  <c:v>14</c:v>
                </c:pt>
                <c:pt idx="3">
                  <c:v>8.5</c:v>
                </c:pt>
                <c:pt idx="4">
                  <c:v>-4</c:v>
                </c:pt>
                <c:pt idx="5">
                  <c:v>16</c:v>
                </c:pt>
                <c:pt idx="6">
                  <c:v>6</c:v>
                </c:pt>
                <c:pt idx="7">
                  <c:v>19</c:v>
                </c:pt>
                <c:pt idx="8">
                  <c:v>11</c:v>
                </c:pt>
                <c:pt idx="9">
                  <c:v>17</c:v>
                </c:pt>
              </c:numCache>
            </c:numRef>
          </c:xVal>
          <c:yVal>
            <c:numRef>
              <c:f>Plot!$H$35:$H$44</c:f>
              <c:numCache>
                <c:formatCode>#,##0.0_ ;[Red]\-#,##0.0\ </c:formatCode>
                <c:ptCount val="10"/>
                <c:pt idx="0">
                  <c:v>75</c:v>
                </c:pt>
                <c:pt idx="1">
                  <c:v>50</c:v>
                </c:pt>
                <c:pt idx="2">
                  <c:v>90</c:v>
                </c:pt>
                <c:pt idx="3">
                  <c:v>17.5</c:v>
                </c:pt>
                <c:pt idx="4">
                  <c:v>10</c:v>
                </c:pt>
                <c:pt idx="5">
                  <c:v>75</c:v>
                </c:pt>
                <c:pt idx="6">
                  <c:v>25</c:v>
                </c:pt>
                <c:pt idx="7">
                  <c:v>75</c:v>
                </c:pt>
                <c:pt idx="8">
                  <c:v>50</c:v>
                </c:pt>
                <c:pt idx="9">
                  <c:v>35</c:v>
                </c:pt>
              </c:numCache>
            </c:numRef>
          </c:yVal>
          <c:smooth val="0"/>
          <c:extLst>
            <c:ext xmlns:c15="http://schemas.microsoft.com/office/drawing/2012/chart" uri="{02D57815-91ED-43cb-92C2-25804820EDAC}">
              <c15:datalabelsRange>
                <c15:f>Plot!$A$35:$A$44</c15:f>
                <c15:dlblRangeCache>
                  <c:ptCount val="10"/>
                  <c:pt idx="0">
                    <c:v>A</c:v>
                  </c:pt>
                  <c:pt idx="1">
                    <c:v>B</c:v>
                  </c:pt>
                  <c:pt idx="2">
                    <c:v>C</c:v>
                  </c:pt>
                  <c:pt idx="3">
                    <c:v>D</c:v>
                  </c:pt>
                  <c:pt idx="4">
                    <c:v>E</c:v>
                  </c:pt>
                  <c:pt idx="5">
                    <c:v>F</c:v>
                  </c:pt>
                  <c:pt idx="6">
                    <c:v>G</c:v>
                  </c:pt>
                  <c:pt idx="7">
                    <c:v>H</c:v>
                  </c:pt>
                  <c:pt idx="8">
                    <c:v>I</c:v>
                  </c:pt>
                  <c:pt idx="9">
                    <c:v>J</c:v>
                  </c:pt>
                </c15:dlblRangeCache>
              </c15:datalabelsRange>
            </c:ext>
            <c:ext xmlns:c16="http://schemas.microsoft.com/office/drawing/2014/chart" uri="{C3380CC4-5D6E-409C-BE32-E72D297353CC}">
              <c16:uniqueId val="{0000004E-C020-4B45-8866-940C11FBE1B5}"/>
            </c:ext>
          </c:extLst>
        </c:ser>
        <c:ser>
          <c:idx val="43"/>
          <c:order val="53"/>
          <c:tx>
            <c:strRef>
              <c:f>Plot!$E$34</c:f>
              <c:strCache>
                <c:ptCount val="1"/>
                <c:pt idx="0">
                  <c:v>Mean(OF)</c:v>
                </c:pt>
              </c:strCache>
            </c:strRef>
          </c:tx>
          <c:spPr>
            <a:ln w="25400" cap="rnd">
              <a:noFill/>
              <a:round/>
            </a:ln>
            <a:effectLst/>
          </c:spPr>
          <c:marker>
            <c:symbol val="circle"/>
            <c:size val="5"/>
            <c:spPr>
              <a:noFill/>
              <a:ln w="9525">
                <a:solidFill>
                  <a:srgbClr val="0000FF"/>
                </a:solidFill>
              </a:ln>
              <a:effectLst/>
            </c:spPr>
          </c:marker>
          <c:xVal>
            <c:numRef>
              <c:f>Plot!$E$35:$E$44</c:f>
              <c:numCache>
                <c:formatCode>#,##0.0_ ;[Red]\-#,##0.0\ </c:formatCode>
                <c:ptCount val="10"/>
                <c:pt idx="0">
                  <c:v>14</c:v>
                </c:pt>
                <c:pt idx="1">
                  <c:v>5</c:v>
                </c:pt>
                <c:pt idx="2">
                  <c:v>14</c:v>
                </c:pt>
                <c:pt idx="3">
                  <c:v>8.5</c:v>
                </c:pt>
                <c:pt idx="4">
                  <c:v>-4</c:v>
                </c:pt>
                <c:pt idx="5">
                  <c:v>16</c:v>
                </c:pt>
                <c:pt idx="6">
                  <c:v>6</c:v>
                </c:pt>
                <c:pt idx="7">
                  <c:v>19</c:v>
                </c:pt>
                <c:pt idx="8">
                  <c:v>11</c:v>
                </c:pt>
                <c:pt idx="9">
                  <c:v>17</c:v>
                </c:pt>
              </c:numCache>
            </c:numRef>
          </c:xVal>
          <c:yVal>
            <c:numRef>
              <c:f>Plot!$E$35:$E$44</c:f>
              <c:numCache>
                <c:formatCode>#,##0.0_ ;[Red]\-#,##0.0\ </c:formatCode>
                <c:ptCount val="10"/>
                <c:pt idx="0">
                  <c:v>14</c:v>
                </c:pt>
                <c:pt idx="1">
                  <c:v>5</c:v>
                </c:pt>
                <c:pt idx="2">
                  <c:v>14</c:v>
                </c:pt>
                <c:pt idx="3">
                  <c:v>8.5</c:v>
                </c:pt>
                <c:pt idx="4">
                  <c:v>-4</c:v>
                </c:pt>
                <c:pt idx="5">
                  <c:v>16</c:v>
                </c:pt>
                <c:pt idx="6">
                  <c:v>6</c:v>
                </c:pt>
                <c:pt idx="7">
                  <c:v>19</c:v>
                </c:pt>
                <c:pt idx="8">
                  <c:v>11</c:v>
                </c:pt>
                <c:pt idx="9">
                  <c:v>17</c:v>
                </c:pt>
              </c:numCache>
            </c:numRef>
          </c:yVal>
          <c:smooth val="0"/>
          <c:extLst>
            <c:ext xmlns:c16="http://schemas.microsoft.com/office/drawing/2014/chart" uri="{C3380CC4-5D6E-409C-BE32-E72D297353CC}">
              <c16:uniqueId val="{0000004F-C020-4B45-8866-940C11FBE1B5}"/>
            </c:ext>
          </c:extLst>
        </c:ser>
        <c:ser>
          <c:idx val="31"/>
          <c:order val="54"/>
          <c:tx>
            <c:strRef>
              <c:f>Plot!$I$35</c:f>
              <c:strCache>
                <c:ptCount val="1"/>
                <c:pt idx="0">
                  <c:v>A.a</c:v>
                </c:pt>
              </c:strCache>
            </c:strRef>
          </c:tx>
          <c:spPr>
            <a:ln w="12700" cap="rnd">
              <a:solidFill>
                <a:schemeClr val="accent2"/>
              </a:solidFill>
              <a:round/>
            </a:ln>
            <a:effectLst/>
          </c:spPr>
          <c:marker>
            <c:symbol val="circle"/>
            <c:size val="5"/>
            <c:spPr>
              <a:noFill/>
              <a:ln w="9525">
                <a:noFill/>
              </a:ln>
              <a:effectLst/>
            </c:spPr>
          </c:marker>
          <c:xVal>
            <c:numRef>
              <c:f>Plot!$J$35:$K$35</c:f>
              <c:numCache>
                <c:formatCode>#,##0.0_ ;[Red]\-#,##0.0\ </c:formatCode>
                <c:ptCount val="2"/>
                <c:pt idx="0">
                  <c:v>14</c:v>
                </c:pt>
                <c:pt idx="1">
                  <c:v>14</c:v>
                </c:pt>
              </c:numCache>
            </c:numRef>
          </c:xVal>
          <c:yVal>
            <c:numRef>
              <c:f>Plot!$L$35:$M$35</c:f>
              <c:numCache>
                <c:formatCode>#,##0.0_ ;[Red]\-#,##0.0\ </c:formatCode>
                <c:ptCount val="2"/>
                <c:pt idx="0">
                  <c:v>-35</c:v>
                </c:pt>
                <c:pt idx="1">
                  <c:v>10</c:v>
                </c:pt>
              </c:numCache>
            </c:numRef>
          </c:yVal>
          <c:smooth val="0"/>
          <c:extLst>
            <c:ext xmlns:c16="http://schemas.microsoft.com/office/drawing/2014/chart" uri="{C3380CC4-5D6E-409C-BE32-E72D297353CC}">
              <c16:uniqueId val="{00000050-C020-4B45-8866-940C11FBE1B5}"/>
            </c:ext>
          </c:extLst>
        </c:ser>
        <c:ser>
          <c:idx val="32"/>
          <c:order val="55"/>
          <c:tx>
            <c:strRef>
              <c:f>Plot!$N$35</c:f>
              <c:strCache>
                <c:ptCount val="1"/>
                <c:pt idx="0">
                  <c:v>A.b</c:v>
                </c:pt>
              </c:strCache>
            </c:strRef>
          </c:tx>
          <c:spPr>
            <a:ln w="12700" cap="rnd">
              <a:solidFill>
                <a:schemeClr val="accent2"/>
              </a:solidFill>
              <a:round/>
            </a:ln>
            <a:effectLst/>
          </c:spPr>
          <c:marker>
            <c:symbol val="circle"/>
            <c:size val="5"/>
            <c:spPr>
              <a:noFill/>
              <a:ln w="9525">
                <a:noFill/>
              </a:ln>
              <a:effectLst/>
            </c:spPr>
          </c:marker>
          <c:xVal>
            <c:numRef>
              <c:f>Plot!$O$35:$P$35</c:f>
              <c:numCache>
                <c:formatCode>#,##0.0_ ;[Red]\-#,##0.0\ </c:formatCode>
                <c:ptCount val="2"/>
                <c:pt idx="0">
                  <c:v>14</c:v>
                </c:pt>
                <c:pt idx="1">
                  <c:v>14</c:v>
                </c:pt>
              </c:numCache>
            </c:numRef>
          </c:xVal>
          <c:yVal>
            <c:numRef>
              <c:f>Plot!$Q$35:$R$35</c:f>
              <c:numCache>
                <c:formatCode>#,##0.0_ ;[Red]\-#,##0.0\ </c:formatCode>
                <c:ptCount val="2"/>
                <c:pt idx="0">
                  <c:v>10</c:v>
                </c:pt>
                <c:pt idx="1">
                  <c:v>75</c:v>
                </c:pt>
              </c:numCache>
            </c:numRef>
          </c:yVal>
          <c:smooth val="0"/>
          <c:extLst>
            <c:ext xmlns:c16="http://schemas.microsoft.com/office/drawing/2014/chart" uri="{C3380CC4-5D6E-409C-BE32-E72D297353CC}">
              <c16:uniqueId val="{00000051-C020-4B45-8866-940C11FBE1B5}"/>
            </c:ext>
          </c:extLst>
        </c:ser>
        <c:ser>
          <c:idx val="33"/>
          <c:order val="56"/>
          <c:tx>
            <c:strRef>
              <c:f>Plot!$I$36</c:f>
              <c:strCache>
                <c:ptCount val="1"/>
                <c:pt idx="0">
                  <c:v>B.a</c:v>
                </c:pt>
              </c:strCache>
            </c:strRef>
          </c:tx>
          <c:spPr>
            <a:ln w="12700" cap="rnd">
              <a:solidFill>
                <a:schemeClr val="accent2"/>
              </a:solidFill>
              <a:round/>
            </a:ln>
            <a:effectLst/>
          </c:spPr>
          <c:marker>
            <c:symbol val="circle"/>
            <c:size val="5"/>
            <c:spPr>
              <a:noFill/>
              <a:ln w="9525">
                <a:noFill/>
              </a:ln>
              <a:effectLst/>
            </c:spPr>
          </c:marker>
          <c:xVal>
            <c:numRef>
              <c:f>Plot!$J$36:$K$36</c:f>
              <c:numCache>
                <c:formatCode>#,##0.0_ ;[Red]\-#,##0.0\ </c:formatCode>
                <c:ptCount val="2"/>
                <c:pt idx="0">
                  <c:v>5</c:v>
                </c:pt>
                <c:pt idx="1">
                  <c:v>5</c:v>
                </c:pt>
              </c:numCache>
            </c:numRef>
          </c:xVal>
          <c:yVal>
            <c:numRef>
              <c:f>Plot!$L$36:$M$36</c:f>
              <c:numCache>
                <c:formatCode>#,##0.0_ ;[Red]\-#,##0.0\ </c:formatCode>
                <c:ptCount val="2"/>
                <c:pt idx="0">
                  <c:v>-25</c:v>
                </c:pt>
                <c:pt idx="1">
                  <c:v>0</c:v>
                </c:pt>
              </c:numCache>
            </c:numRef>
          </c:yVal>
          <c:smooth val="0"/>
          <c:extLst>
            <c:ext xmlns:c16="http://schemas.microsoft.com/office/drawing/2014/chart" uri="{C3380CC4-5D6E-409C-BE32-E72D297353CC}">
              <c16:uniqueId val="{00000052-C020-4B45-8866-940C11FBE1B5}"/>
            </c:ext>
          </c:extLst>
        </c:ser>
        <c:ser>
          <c:idx val="34"/>
          <c:order val="57"/>
          <c:tx>
            <c:strRef>
              <c:f>Plot!$N$36</c:f>
              <c:strCache>
                <c:ptCount val="1"/>
                <c:pt idx="0">
                  <c:v>B.b</c:v>
                </c:pt>
              </c:strCache>
            </c:strRef>
          </c:tx>
          <c:spPr>
            <a:ln w="12700" cap="rnd">
              <a:solidFill>
                <a:schemeClr val="accent2"/>
              </a:solidFill>
              <a:round/>
            </a:ln>
            <a:effectLst/>
          </c:spPr>
          <c:marker>
            <c:symbol val="circle"/>
            <c:size val="5"/>
            <c:spPr>
              <a:noFill/>
              <a:ln w="9525">
                <a:noFill/>
              </a:ln>
              <a:effectLst/>
            </c:spPr>
          </c:marker>
          <c:xVal>
            <c:numRef>
              <c:f>Plot!$O$36:$P$36</c:f>
              <c:numCache>
                <c:formatCode>#,##0.0_ ;[Red]\-#,##0.0\ </c:formatCode>
                <c:ptCount val="2"/>
                <c:pt idx="0">
                  <c:v>5</c:v>
                </c:pt>
                <c:pt idx="1">
                  <c:v>5</c:v>
                </c:pt>
              </c:numCache>
            </c:numRef>
          </c:xVal>
          <c:yVal>
            <c:numRef>
              <c:f>Plot!$Q$36:$R$36</c:f>
              <c:numCache>
                <c:formatCode>#,##0.0_ ;[Red]\-#,##0.0\ </c:formatCode>
                <c:ptCount val="2"/>
                <c:pt idx="0">
                  <c:v>0</c:v>
                </c:pt>
                <c:pt idx="1">
                  <c:v>50</c:v>
                </c:pt>
              </c:numCache>
            </c:numRef>
          </c:yVal>
          <c:smooth val="0"/>
          <c:extLst>
            <c:ext xmlns:c16="http://schemas.microsoft.com/office/drawing/2014/chart" uri="{C3380CC4-5D6E-409C-BE32-E72D297353CC}">
              <c16:uniqueId val="{00000053-C020-4B45-8866-940C11FBE1B5}"/>
            </c:ext>
          </c:extLst>
        </c:ser>
        <c:ser>
          <c:idx val="35"/>
          <c:order val="58"/>
          <c:tx>
            <c:strRef>
              <c:f>Plot!$I$37</c:f>
              <c:strCache>
                <c:ptCount val="1"/>
                <c:pt idx="0">
                  <c:v>C.a</c:v>
                </c:pt>
              </c:strCache>
            </c:strRef>
          </c:tx>
          <c:spPr>
            <a:ln w="12700" cap="rnd">
              <a:solidFill>
                <a:schemeClr val="accent2"/>
              </a:solidFill>
              <a:round/>
            </a:ln>
            <a:effectLst/>
          </c:spPr>
          <c:marker>
            <c:symbol val="circle"/>
            <c:size val="5"/>
            <c:spPr>
              <a:noFill/>
              <a:ln w="9525">
                <a:noFill/>
              </a:ln>
              <a:effectLst/>
            </c:spPr>
          </c:marker>
          <c:xVal>
            <c:numRef>
              <c:f>Plot!$J$37:$K$37</c:f>
              <c:numCache>
                <c:formatCode>#,##0.0_ ;[Red]\-#,##0.0\ </c:formatCode>
                <c:ptCount val="2"/>
                <c:pt idx="0">
                  <c:v>14</c:v>
                </c:pt>
                <c:pt idx="1">
                  <c:v>14</c:v>
                </c:pt>
              </c:numCache>
            </c:numRef>
          </c:xVal>
          <c:yVal>
            <c:numRef>
              <c:f>Plot!$L$37:$M$37</c:f>
              <c:numCache>
                <c:formatCode>#,##0.0_ ;[Red]\-#,##0.0\ </c:formatCode>
                <c:ptCount val="2"/>
                <c:pt idx="0">
                  <c:v>-50</c:v>
                </c:pt>
                <c:pt idx="1">
                  <c:v>10</c:v>
                </c:pt>
              </c:numCache>
            </c:numRef>
          </c:yVal>
          <c:smooth val="0"/>
          <c:extLst>
            <c:ext xmlns:c16="http://schemas.microsoft.com/office/drawing/2014/chart" uri="{C3380CC4-5D6E-409C-BE32-E72D297353CC}">
              <c16:uniqueId val="{00000054-C020-4B45-8866-940C11FBE1B5}"/>
            </c:ext>
          </c:extLst>
        </c:ser>
        <c:ser>
          <c:idx val="36"/>
          <c:order val="59"/>
          <c:tx>
            <c:strRef>
              <c:f>Plot!$N$37</c:f>
              <c:strCache>
                <c:ptCount val="1"/>
                <c:pt idx="0">
                  <c:v>C.b</c:v>
                </c:pt>
              </c:strCache>
            </c:strRef>
          </c:tx>
          <c:spPr>
            <a:ln w="12700" cap="rnd">
              <a:solidFill>
                <a:schemeClr val="accent2"/>
              </a:solidFill>
              <a:round/>
            </a:ln>
            <a:effectLst/>
          </c:spPr>
          <c:marker>
            <c:symbol val="circle"/>
            <c:size val="5"/>
            <c:spPr>
              <a:noFill/>
              <a:ln w="9525">
                <a:noFill/>
              </a:ln>
              <a:effectLst/>
            </c:spPr>
          </c:marker>
          <c:xVal>
            <c:numRef>
              <c:f>Plot!$O$37:$P$37</c:f>
              <c:numCache>
                <c:formatCode>#,##0.0_ ;[Red]\-#,##0.0\ </c:formatCode>
                <c:ptCount val="2"/>
                <c:pt idx="0">
                  <c:v>14</c:v>
                </c:pt>
                <c:pt idx="1">
                  <c:v>14</c:v>
                </c:pt>
              </c:numCache>
            </c:numRef>
          </c:xVal>
          <c:yVal>
            <c:numRef>
              <c:f>Plot!$Q$37:$R$37</c:f>
              <c:numCache>
                <c:formatCode>#,##0.0_ ;[Red]\-#,##0.0\ </c:formatCode>
                <c:ptCount val="2"/>
                <c:pt idx="0">
                  <c:v>10</c:v>
                </c:pt>
                <c:pt idx="1">
                  <c:v>90</c:v>
                </c:pt>
              </c:numCache>
            </c:numRef>
          </c:yVal>
          <c:smooth val="0"/>
          <c:extLst>
            <c:ext xmlns:c16="http://schemas.microsoft.com/office/drawing/2014/chart" uri="{C3380CC4-5D6E-409C-BE32-E72D297353CC}">
              <c16:uniqueId val="{00000055-C020-4B45-8866-940C11FBE1B5}"/>
            </c:ext>
          </c:extLst>
        </c:ser>
        <c:ser>
          <c:idx val="37"/>
          <c:order val="60"/>
          <c:tx>
            <c:strRef>
              <c:f>Plot!$I$38</c:f>
              <c:strCache>
                <c:ptCount val="1"/>
                <c:pt idx="0">
                  <c:v>D.a</c:v>
                </c:pt>
              </c:strCache>
            </c:strRef>
          </c:tx>
          <c:spPr>
            <a:ln w="12700" cap="rnd">
              <a:solidFill>
                <a:schemeClr val="accent2"/>
              </a:solidFill>
              <a:round/>
            </a:ln>
            <a:effectLst/>
          </c:spPr>
          <c:marker>
            <c:symbol val="circle"/>
            <c:size val="5"/>
            <c:spPr>
              <a:noFill/>
              <a:ln w="9525">
                <a:noFill/>
              </a:ln>
              <a:effectLst/>
            </c:spPr>
          </c:marker>
          <c:xVal>
            <c:numRef>
              <c:f>Plot!$J$38:$K$38</c:f>
              <c:numCache>
                <c:formatCode>#,##0.0_ ;[Red]\-#,##0.0\ </c:formatCode>
                <c:ptCount val="2"/>
                <c:pt idx="0">
                  <c:v>8.5</c:v>
                </c:pt>
                <c:pt idx="1">
                  <c:v>8.5</c:v>
                </c:pt>
              </c:numCache>
            </c:numRef>
          </c:xVal>
          <c:yVal>
            <c:numRef>
              <c:f>Plot!$L$38:$M$38</c:f>
              <c:numCache>
                <c:formatCode>#,##0.0_ ;[Red]\-#,##0.0\ </c:formatCode>
                <c:ptCount val="2"/>
                <c:pt idx="0">
                  <c:v>-5</c:v>
                </c:pt>
                <c:pt idx="1">
                  <c:v>10</c:v>
                </c:pt>
              </c:numCache>
            </c:numRef>
          </c:yVal>
          <c:smooth val="0"/>
          <c:extLst>
            <c:ext xmlns:c16="http://schemas.microsoft.com/office/drawing/2014/chart" uri="{C3380CC4-5D6E-409C-BE32-E72D297353CC}">
              <c16:uniqueId val="{00000056-C020-4B45-8866-940C11FBE1B5}"/>
            </c:ext>
          </c:extLst>
        </c:ser>
        <c:ser>
          <c:idx val="38"/>
          <c:order val="61"/>
          <c:tx>
            <c:strRef>
              <c:f>Plot!$N$38</c:f>
              <c:strCache>
                <c:ptCount val="1"/>
                <c:pt idx="0">
                  <c:v>D.b</c:v>
                </c:pt>
              </c:strCache>
            </c:strRef>
          </c:tx>
          <c:spPr>
            <a:ln w="12700" cap="rnd">
              <a:solidFill>
                <a:schemeClr val="accent2"/>
              </a:solidFill>
              <a:round/>
            </a:ln>
            <a:effectLst/>
          </c:spPr>
          <c:marker>
            <c:symbol val="circle"/>
            <c:size val="5"/>
            <c:spPr>
              <a:noFill/>
              <a:ln w="9525">
                <a:noFill/>
              </a:ln>
              <a:effectLst/>
            </c:spPr>
          </c:marker>
          <c:xVal>
            <c:numRef>
              <c:f>Plot!$O$38:$P$38</c:f>
              <c:numCache>
                <c:formatCode>#,##0.0_ ;[Red]\-#,##0.0\ </c:formatCode>
                <c:ptCount val="2"/>
                <c:pt idx="0">
                  <c:v>8.5</c:v>
                </c:pt>
                <c:pt idx="1">
                  <c:v>8.5</c:v>
                </c:pt>
              </c:numCache>
            </c:numRef>
          </c:xVal>
          <c:yVal>
            <c:numRef>
              <c:f>Plot!$Q$38:$R$38</c:f>
              <c:numCache>
                <c:formatCode>#,##0.0_ ;[Red]\-#,##0.0\ </c:formatCode>
                <c:ptCount val="2"/>
                <c:pt idx="0">
                  <c:v>10</c:v>
                </c:pt>
                <c:pt idx="1">
                  <c:v>17.5</c:v>
                </c:pt>
              </c:numCache>
            </c:numRef>
          </c:yVal>
          <c:smooth val="0"/>
          <c:extLst>
            <c:ext xmlns:c16="http://schemas.microsoft.com/office/drawing/2014/chart" uri="{C3380CC4-5D6E-409C-BE32-E72D297353CC}">
              <c16:uniqueId val="{00000057-C020-4B45-8866-940C11FBE1B5}"/>
            </c:ext>
          </c:extLst>
        </c:ser>
        <c:ser>
          <c:idx val="68"/>
          <c:order val="62"/>
          <c:tx>
            <c:strRef>
              <c:f>Plot!$I$39</c:f>
              <c:strCache>
                <c:ptCount val="1"/>
                <c:pt idx="0">
                  <c:v>E.a</c:v>
                </c:pt>
              </c:strCache>
            </c:strRef>
          </c:tx>
          <c:spPr>
            <a:ln w="12700" cap="rnd">
              <a:solidFill>
                <a:schemeClr val="accent2"/>
              </a:solidFill>
              <a:round/>
            </a:ln>
            <a:effectLst/>
          </c:spPr>
          <c:marker>
            <c:symbol val="circle"/>
            <c:size val="5"/>
            <c:spPr>
              <a:solidFill>
                <a:schemeClr val="accent3">
                  <a:lumMod val="80000"/>
                  <a:lumOff val="20000"/>
                </a:schemeClr>
              </a:solidFill>
              <a:ln w="9525">
                <a:solidFill>
                  <a:schemeClr val="accent3">
                    <a:lumMod val="80000"/>
                    <a:lumOff val="20000"/>
                  </a:schemeClr>
                </a:solidFill>
              </a:ln>
              <a:effectLst/>
            </c:spPr>
          </c:marker>
          <c:xVal>
            <c:numRef>
              <c:f>Plot!$J$39:$K$39</c:f>
              <c:numCache>
                <c:formatCode>#,##0.0_ ;[Red]\-#,##0.0\ </c:formatCode>
                <c:ptCount val="2"/>
                <c:pt idx="0">
                  <c:v>-4</c:v>
                </c:pt>
                <c:pt idx="1">
                  <c:v>-4</c:v>
                </c:pt>
              </c:numCache>
            </c:numRef>
          </c:xVal>
          <c:yVal>
            <c:numRef>
              <c:f>Plot!$L$39:$M$39</c:f>
              <c:numCache>
                <c:formatCode>#,##0.0_ ;[Red]\-#,##0.0\ </c:formatCode>
                <c:ptCount val="2"/>
                <c:pt idx="0">
                  <c:v>-15</c:v>
                </c:pt>
                <c:pt idx="1">
                  <c:v>-5</c:v>
                </c:pt>
              </c:numCache>
            </c:numRef>
          </c:yVal>
          <c:smooth val="0"/>
          <c:extLst>
            <c:ext xmlns:c16="http://schemas.microsoft.com/office/drawing/2014/chart" uri="{C3380CC4-5D6E-409C-BE32-E72D297353CC}">
              <c16:uniqueId val="{00000058-C020-4B45-8866-940C11FBE1B5}"/>
            </c:ext>
          </c:extLst>
        </c:ser>
        <c:ser>
          <c:idx val="69"/>
          <c:order val="63"/>
          <c:tx>
            <c:strRef>
              <c:f>Plot!$N$39</c:f>
              <c:strCache>
                <c:ptCount val="1"/>
                <c:pt idx="0">
                  <c:v>E.b</c:v>
                </c:pt>
              </c:strCache>
            </c:strRef>
          </c:tx>
          <c:spPr>
            <a:ln w="12700" cap="rnd">
              <a:solidFill>
                <a:schemeClr val="accent2"/>
              </a:solidFill>
              <a:round/>
            </a:ln>
            <a:effectLst/>
          </c:spPr>
          <c:marker>
            <c:symbol val="circle"/>
            <c:size val="5"/>
            <c:spPr>
              <a:solidFill>
                <a:schemeClr val="accent4">
                  <a:lumMod val="80000"/>
                  <a:lumOff val="20000"/>
                </a:schemeClr>
              </a:solidFill>
              <a:ln w="9525">
                <a:solidFill>
                  <a:schemeClr val="accent4">
                    <a:lumMod val="80000"/>
                    <a:lumOff val="20000"/>
                  </a:schemeClr>
                </a:solidFill>
              </a:ln>
              <a:effectLst/>
            </c:spPr>
          </c:marker>
          <c:xVal>
            <c:numRef>
              <c:f>Plot!$O$39:$P$39</c:f>
              <c:numCache>
                <c:formatCode>#,##0.0_ ;[Red]\-#,##0.0\ </c:formatCode>
                <c:ptCount val="2"/>
                <c:pt idx="0">
                  <c:v>-4</c:v>
                </c:pt>
                <c:pt idx="1">
                  <c:v>-4</c:v>
                </c:pt>
              </c:numCache>
            </c:numRef>
          </c:xVal>
          <c:yVal>
            <c:numRef>
              <c:f>Plot!$Q$39:$R$39</c:f>
              <c:numCache>
                <c:formatCode>#,##0.0_ ;[Red]\-#,##0.0\ </c:formatCode>
                <c:ptCount val="2"/>
                <c:pt idx="0">
                  <c:v>-5</c:v>
                </c:pt>
                <c:pt idx="1">
                  <c:v>10</c:v>
                </c:pt>
              </c:numCache>
            </c:numRef>
          </c:yVal>
          <c:smooth val="0"/>
          <c:extLst>
            <c:ext xmlns:c16="http://schemas.microsoft.com/office/drawing/2014/chart" uri="{C3380CC4-5D6E-409C-BE32-E72D297353CC}">
              <c16:uniqueId val="{00000059-C020-4B45-8866-940C11FBE1B5}"/>
            </c:ext>
          </c:extLst>
        </c:ser>
        <c:ser>
          <c:idx val="16"/>
          <c:order val="64"/>
          <c:tx>
            <c:strRef>
              <c:f>Plot!$I$40</c:f>
              <c:strCache>
                <c:ptCount val="1"/>
                <c:pt idx="0">
                  <c:v>F.a</c:v>
                </c:pt>
              </c:strCache>
            </c:strRef>
          </c:tx>
          <c:spPr>
            <a:ln w="12700" cap="rnd">
              <a:solidFill>
                <a:schemeClr val="accent2"/>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numRef>
              <c:f>Plot!$J$40:$K$40</c:f>
              <c:numCache>
                <c:formatCode>#,##0.0_ ;[Red]\-#,##0.0\ </c:formatCode>
                <c:ptCount val="2"/>
                <c:pt idx="0">
                  <c:v>16</c:v>
                </c:pt>
                <c:pt idx="1">
                  <c:v>16</c:v>
                </c:pt>
              </c:numCache>
            </c:numRef>
          </c:xVal>
          <c:yVal>
            <c:numRef>
              <c:f>Plot!$L$40:$M$40</c:f>
              <c:numCache>
                <c:formatCode>#,##0.0_ ;[Red]\-#,##0.0\ </c:formatCode>
                <c:ptCount val="2"/>
                <c:pt idx="0">
                  <c:v>-25</c:v>
                </c:pt>
                <c:pt idx="1">
                  <c:v>10</c:v>
                </c:pt>
              </c:numCache>
            </c:numRef>
          </c:yVal>
          <c:smooth val="0"/>
          <c:extLst>
            <c:ext xmlns:c16="http://schemas.microsoft.com/office/drawing/2014/chart" uri="{C3380CC4-5D6E-409C-BE32-E72D297353CC}">
              <c16:uniqueId val="{0000005A-C020-4B45-8866-940C11FBE1B5}"/>
            </c:ext>
          </c:extLst>
        </c:ser>
        <c:ser>
          <c:idx val="65"/>
          <c:order val="65"/>
          <c:tx>
            <c:strRef>
              <c:f>Plot!$N$40</c:f>
              <c:strCache>
                <c:ptCount val="1"/>
                <c:pt idx="0">
                  <c:v>F.b</c:v>
                </c:pt>
              </c:strCache>
            </c:strRef>
          </c:tx>
          <c:spPr>
            <a:ln w="12700" cap="rnd">
              <a:solidFill>
                <a:schemeClr val="accent2"/>
              </a:solidFill>
              <a:round/>
            </a:ln>
            <a:effectLst/>
          </c:spPr>
          <c:marker>
            <c:symbol val="circle"/>
            <c:size val="5"/>
            <c:spPr>
              <a:solidFill>
                <a:schemeClr val="accent6">
                  <a:lumMod val="60000"/>
                </a:schemeClr>
              </a:solidFill>
              <a:ln w="9525">
                <a:solidFill>
                  <a:schemeClr val="accent6">
                    <a:lumMod val="60000"/>
                  </a:schemeClr>
                </a:solidFill>
              </a:ln>
              <a:effectLst/>
            </c:spPr>
          </c:marker>
          <c:xVal>
            <c:numRef>
              <c:f>Plot!$O$40:$P$40</c:f>
              <c:numCache>
                <c:formatCode>#,##0.0_ ;[Red]\-#,##0.0\ </c:formatCode>
                <c:ptCount val="2"/>
                <c:pt idx="0">
                  <c:v>16</c:v>
                </c:pt>
                <c:pt idx="1">
                  <c:v>16</c:v>
                </c:pt>
              </c:numCache>
            </c:numRef>
          </c:xVal>
          <c:yVal>
            <c:numRef>
              <c:f>Plot!$Q$40:$R$40</c:f>
              <c:numCache>
                <c:formatCode>#,##0.0_ ;[Red]\-#,##0.0\ </c:formatCode>
                <c:ptCount val="2"/>
                <c:pt idx="0">
                  <c:v>10</c:v>
                </c:pt>
                <c:pt idx="1">
                  <c:v>75</c:v>
                </c:pt>
              </c:numCache>
            </c:numRef>
          </c:yVal>
          <c:smooth val="0"/>
          <c:extLst>
            <c:ext xmlns:c16="http://schemas.microsoft.com/office/drawing/2014/chart" uri="{C3380CC4-5D6E-409C-BE32-E72D297353CC}">
              <c16:uniqueId val="{0000005B-C020-4B45-8866-940C11FBE1B5}"/>
            </c:ext>
          </c:extLst>
        </c:ser>
        <c:ser>
          <c:idx val="66"/>
          <c:order val="66"/>
          <c:tx>
            <c:strRef>
              <c:f>Plot!$I$41</c:f>
              <c:strCache>
                <c:ptCount val="1"/>
                <c:pt idx="0">
                  <c:v>G.a</c:v>
                </c:pt>
              </c:strCache>
            </c:strRef>
          </c:tx>
          <c:spPr>
            <a:ln w="12700" cap="rnd">
              <a:solidFill>
                <a:schemeClr val="accent2"/>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xVal>
            <c:numRef>
              <c:f>Plot!$J$41:$K$41</c:f>
              <c:numCache>
                <c:formatCode>#,##0.0_ ;[Red]\-#,##0.0\ </c:formatCode>
                <c:ptCount val="2"/>
                <c:pt idx="0">
                  <c:v>6</c:v>
                </c:pt>
                <c:pt idx="1">
                  <c:v>6</c:v>
                </c:pt>
              </c:numCache>
            </c:numRef>
          </c:xVal>
          <c:yVal>
            <c:numRef>
              <c:f>Plot!$L$41:$M$41</c:f>
              <c:numCache>
                <c:formatCode>#,##0.0_ ;[Red]\-#,##0.0\ </c:formatCode>
                <c:ptCount val="2"/>
                <c:pt idx="0">
                  <c:v>-10</c:v>
                </c:pt>
                <c:pt idx="1">
                  <c:v>5</c:v>
                </c:pt>
              </c:numCache>
            </c:numRef>
          </c:yVal>
          <c:smooth val="0"/>
          <c:extLst>
            <c:ext xmlns:c16="http://schemas.microsoft.com/office/drawing/2014/chart" uri="{C3380CC4-5D6E-409C-BE32-E72D297353CC}">
              <c16:uniqueId val="{0000005C-C020-4B45-8866-940C11FBE1B5}"/>
            </c:ext>
          </c:extLst>
        </c:ser>
        <c:ser>
          <c:idx val="67"/>
          <c:order val="67"/>
          <c:tx>
            <c:strRef>
              <c:f>Plot!$N$41</c:f>
              <c:strCache>
                <c:ptCount val="1"/>
                <c:pt idx="0">
                  <c:v>G.b</c:v>
                </c:pt>
              </c:strCache>
            </c:strRef>
          </c:tx>
          <c:spPr>
            <a:ln w="12700" cap="rnd">
              <a:solidFill>
                <a:schemeClr val="accent2"/>
              </a:solidFill>
              <a:round/>
            </a:ln>
            <a:effectLst/>
          </c:spPr>
          <c:marker>
            <c:symbol val="circle"/>
            <c:size val="5"/>
            <c:spPr>
              <a:solidFill>
                <a:schemeClr val="accent2">
                  <a:lumMod val="80000"/>
                  <a:lumOff val="20000"/>
                </a:schemeClr>
              </a:solidFill>
              <a:ln w="9525">
                <a:solidFill>
                  <a:schemeClr val="accent2">
                    <a:lumMod val="80000"/>
                    <a:lumOff val="20000"/>
                  </a:schemeClr>
                </a:solidFill>
              </a:ln>
              <a:effectLst/>
            </c:spPr>
          </c:marker>
          <c:xVal>
            <c:numRef>
              <c:f>Plot!$O$41:$P$41</c:f>
              <c:numCache>
                <c:formatCode>#,##0.0_ ;[Red]\-#,##0.0\ </c:formatCode>
                <c:ptCount val="2"/>
                <c:pt idx="0">
                  <c:v>6</c:v>
                </c:pt>
                <c:pt idx="1">
                  <c:v>6</c:v>
                </c:pt>
              </c:numCache>
            </c:numRef>
          </c:xVal>
          <c:yVal>
            <c:numRef>
              <c:f>Plot!$Q$41:$R$41</c:f>
              <c:numCache>
                <c:formatCode>#,##0.0_ ;[Red]\-#,##0.0\ </c:formatCode>
                <c:ptCount val="2"/>
                <c:pt idx="0">
                  <c:v>5</c:v>
                </c:pt>
                <c:pt idx="1">
                  <c:v>25</c:v>
                </c:pt>
              </c:numCache>
            </c:numRef>
          </c:yVal>
          <c:smooth val="0"/>
          <c:extLst>
            <c:ext xmlns:c16="http://schemas.microsoft.com/office/drawing/2014/chart" uri="{C3380CC4-5D6E-409C-BE32-E72D297353CC}">
              <c16:uniqueId val="{0000005D-C020-4B45-8866-940C11FBE1B5}"/>
            </c:ext>
          </c:extLst>
        </c:ser>
        <c:ser>
          <c:idx val="70"/>
          <c:order val="68"/>
          <c:tx>
            <c:strRef>
              <c:f>Plot!$I$42</c:f>
              <c:strCache>
                <c:ptCount val="1"/>
                <c:pt idx="0">
                  <c:v>H.a</c:v>
                </c:pt>
              </c:strCache>
            </c:strRef>
          </c:tx>
          <c:spPr>
            <a:ln w="12700" cap="rnd">
              <a:solidFill>
                <a:schemeClr val="accent2"/>
              </a:solidFill>
              <a:round/>
            </a:ln>
            <a:effectLst/>
          </c:spPr>
          <c:marker>
            <c:symbol val="circle"/>
            <c:size val="5"/>
            <c:spPr>
              <a:solidFill>
                <a:schemeClr val="accent5">
                  <a:lumMod val="80000"/>
                  <a:lumOff val="20000"/>
                </a:schemeClr>
              </a:solidFill>
              <a:ln w="9525">
                <a:solidFill>
                  <a:schemeClr val="accent5">
                    <a:lumMod val="80000"/>
                    <a:lumOff val="20000"/>
                  </a:schemeClr>
                </a:solidFill>
              </a:ln>
              <a:effectLst/>
            </c:spPr>
          </c:marker>
          <c:xVal>
            <c:numRef>
              <c:f>Plot!$J$42:$K$42</c:f>
              <c:numCache>
                <c:formatCode>#,##0.0_ ;[Red]\-#,##0.0\ </c:formatCode>
                <c:ptCount val="2"/>
                <c:pt idx="0">
                  <c:v>19</c:v>
                </c:pt>
                <c:pt idx="1">
                  <c:v>19</c:v>
                </c:pt>
              </c:numCache>
            </c:numRef>
          </c:xVal>
          <c:yVal>
            <c:numRef>
              <c:f>Plot!$L$42:$M$42</c:f>
              <c:numCache>
                <c:formatCode>#,##0.0_ ;[Red]\-#,##0.0\ </c:formatCode>
                <c:ptCount val="2"/>
                <c:pt idx="0">
                  <c:v>-25</c:v>
                </c:pt>
                <c:pt idx="1">
                  <c:v>15</c:v>
                </c:pt>
              </c:numCache>
            </c:numRef>
          </c:yVal>
          <c:smooth val="0"/>
          <c:extLst>
            <c:ext xmlns:c16="http://schemas.microsoft.com/office/drawing/2014/chart" uri="{C3380CC4-5D6E-409C-BE32-E72D297353CC}">
              <c16:uniqueId val="{0000005E-C020-4B45-8866-940C11FBE1B5}"/>
            </c:ext>
          </c:extLst>
        </c:ser>
        <c:ser>
          <c:idx val="71"/>
          <c:order val="69"/>
          <c:tx>
            <c:strRef>
              <c:f>Plot!$N$42</c:f>
              <c:strCache>
                <c:ptCount val="1"/>
                <c:pt idx="0">
                  <c:v>H.b</c:v>
                </c:pt>
              </c:strCache>
            </c:strRef>
          </c:tx>
          <c:spPr>
            <a:ln w="12700" cap="rnd">
              <a:solidFill>
                <a:schemeClr val="accent2"/>
              </a:solidFill>
              <a:round/>
            </a:ln>
            <a:effectLst/>
          </c:spPr>
          <c:marker>
            <c:symbol val="circle"/>
            <c:size val="5"/>
            <c:spPr>
              <a:solidFill>
                <a:schemeClr val="accent6">
                  <a:lumMod val="80000"/>
                  <a:lumOff val="20000"/>
                </a:schemeClr>
              </a:solidFill>
              <a:ln w="9525">
                <a:solidFill>
                  <a:schemeClr val="accent6">
                    <a:lumMod val="80000"/>
                    <a:lumOff val="20000"/>
                  </a:schemeClr>
                </a:solidFill>
              </a:ln>
              <a:effectLst/>
            </c:spPr>
          </c:marker>
          <c:xVal>
            <c:numRef>
              <c:f>Plot!$O$42:$P$42</c:f>
              <c:numCache>
                <c:formatCode>#,##0.0_ ;[Red]\-#,##0.0\ </c:formatCode>
                <c:ptCount val="2"/>
                <c:pt idx="0">
                  <c:v>19</c:v>
                </c:pt>
                <c:pt idx="1">
                  <c:v>19</c:v>
                </c:pt>
              </c:numCache>
            </c:numRef>
          </c:xVal>
          <c:yVal>
            <c:numRef>
              <c:f>Plot!$Q$42:$R$42</c:f>
              <c:numCache>
                <c:formatCode>#,##0.0_ ;[Red]\-#,##0.0\ </c:formatCode>
                <c:ptCount val="2"/>
                <c:pt idx="0">
                  <c:v>15</c:v>
                </c:pt>
                <c:pt idx="1">
                  <c:v>75</c:v>
                </c:pt>
              </c:numCache>
            </c:numRef>
          </c:yVal>
          <c:smooth val="0"/>
          <c:extLst>
            <c:ext xmlns:c16="http://schemas.microsoft.com/office/drawing/2014/chart" uri="{C3380CC4-5D6E-409C-BE32-E72D297353CC}">
              <c16:uniqueId val="{0000005F-C020-4B45-8866-940C11FBE1B5}"/>
            </c:ext>
          </c:extLst>
        </c:ser>
        <c:ser>
          <c:idx val="39"/>
          <c:order val="70"/>
          <c:tx>
            <c:strRef>
              <c:f>Plot!$I$43</c:f>
              <c:strCache>
                <c:ptCount val="1"/>
                <c:pt idx="0">
                  <c:v>I.a</c:v>
                </c:pt>
              </c:strCache>
            </c:strRef>
          </c:tx>
          <c:spPr>
            <a:ln w="12700" cap="rnd">
              <a:solidFill>
                <a:schemeClr val="accent2"/>
              </a:solidFill>
              <a:round/>
            </a:ln>
            <a:effectLst/>
          </c:spPr>
          <c:marker>
            <c:symbol val="circle"/>
            <c:size val="5"/>
            <c:spPr>
              <a:noFill/>
              <a:ln w="9525">
                <a:noFill/>
              </a:ln>
              <a:effectLst/>
            </c:spPr>
          </c:marker>
          <c:xVal>
            <c:numRef>
              <c:f>Plot!$J$43:$K$43</c:f>
              <c:numCache>
                <c:formatCode>#,##0.0_ ;[Red]\-#,##0.0\ </c:formatCode>
                <c:ptCount val="2"/>
                <c:pt idx="0">
                  <c:v>11</c:v>
                </c:pt>
                <c:pt idx="1">
                  <c:v>11</c:v>
                </c:pt>
              </c:numCache>
            </c:numRef>
          </c:xVal>
          <c:yVal>
            <c:numRef>
              <c:f>Plot!$L$43:$M$43</c:f>
              <c:numCache>
                <c:formatCode>#,##0.0_ ;[Red]\-#,##0.0\ </c:formatCode>
                <c:ptCount val="2"/>
                <c:pt idx="0">
                  <c:v>-25</c:v>
                </c:pt>
                <c:pt idx="1">
                  <c:v>10</c:v>
                </c:pt>
              </c:numCache>
            </c:numRef>
          </c:yVal>
          <c:smooth val="0"/>
          <c:extLst>
            <c:ext xmlns:c16="http://schemas.microsoft.com/office/drawing/2014/chart" uri="{C3380CC4-5D6E-409C-BE32-E72D297353CC}">
              <c16:uniqueId val="{00000060-C020-4B45-8866-940C11FBE1B5}"/>
            </c:ext>
          </c:extLst>
        </c:ser>
        <c:ser>
          <c:idx val="40"/>
          <c:order val="71"/>
          <c:tx>
            <c:strRef>
              <c:f>Plot!$N$43</c:f>
              <c:strCache>
                <c:ptCount val="1"/>
                <c:pt idx="0">
                  <c:v>I.b</c:v>
                </c:pt>
              </c:strCache>
            </c:strRef>
          </c:tx>
          <c:spPr>
            <a:ln w="12700" cap="rnd">
              <a:solidFill>
                <a:schemeClr val="accent2"/>
              </a:solidFill>
              <a:round/>
            </a:ln>
            <a:effectLst/>
          </c:spPr>
          <c:marker>
            <c:symbol val="circle"/>
            <c:size val="5"/>
            <c:spPr>
              <a:noFill/>
              <a:ln w="9525">
                <a:noFill/>
              </a:ln>
              <a:effectLst/>
            </c:spPr>
          </c:marker>
          <c:xVal>
            <c:numRef>
              <c:f>Plot!$O$43:$P$43</c:f>
              <c:numCache>
                <c:formatCode>#,##0.0_ ;[Red]\-#,##0.0\ </c:formatCode>
                <c:ptCount val="2"/>
                <c:pt idx="0">
                  <c:v>11</c:v>
                </c:pt>
                <c:pt idx="1">
                  <c:v>11</c:v>
                </c:pt>
              </c:numCache>
            </c:numRef>
          </c:xVal>
          <c:yVal>
            <c:numRef>
              <c:f>Plot!$Q$43:$R$43</c:f>
              <c:numCache>
                <c:formatCode>#,##0.0_ ;[Red]\-#,##0.0\ </c:formatCode>
                <c:ptCount val="2"/>
                <c:pt idx="0">
                  <c:v>10</c:v>
                </c:pt>
                <c:pt idx="1">
                  <c:v>50</c:v>
                </c:pt>
              </c:numCache>
            </c:numRef>
          </c:yVal>
          <c:smooth val="0"/>
          <c:extLst>
            <c:ext xmlns:c16="http://schemas.microsoft.com/office/drawing/2014/chart" uri="{C3380CC4-5D6E-409C-BE32-E72D297353CC}">
              <c16:uniqueId val="{00000061-C020-4B45-8866-940C11FBE1B5}"/>
            </c:ext>
          </c:extLst>
        </c:ser>
        <c:ser>
          <c:idx val="41"/>
          <c:order val="72"/>
          <c:tx>
            <c:strRef>
              <c:f>Plot!$I$44</c:f>
              <c:strCache>
                <c:ptCount val="1"/>
                <c:pt idx="0">
                  <c:v>J.a</c:v>
                </c:pt>
              </c:strCache>
            </c:strRef>
          </c:tx>
          <c:spPr>
            <a:ln w="12700" cap="rnd">
              <a:solidFill>
                <a:schemeClr val="accent2"/>
              </a:solidFill>
              <a:round/>
            </a:ln>
            <a:effectLst/>
          </c:spPr>
          <c:marker>
            <c:symbol val="circle"/>
            <c:size val="5"/>
            <c:spPr>
              <a:noFill/>
              <a:ln w="9525">
                <a:noFill/>
              </a:ln>
              <a:effectLst/>
            </c:spPr>
          </c:marker>
          <c:xVal>
            <c:numRef>
              <c:f>Plot!$J$44:$K$44</c:f>
              <c:numCache>
                <c:formatCode>#,##0.0_ ;[Red]\-#,##0.0\ </c:formatCode>
                <c:ptCount val="2"/>
                <c:pt idx="0">
                  <c:v>17</c:v>
                </c:pt>
                <c:pt idx="1">
                  <c:v>17</c:v>
                </c:pt>
              </c:numCache>
            </c:numRef>
          </c:xVal>
          <c:yVal>
            <c:numRef>
              <c:f>Plot!$L$44:$M$44</c:f>
              <c:numCache>
                <c:formatCode>#,##0.0_ ;[Red]\-#,##0.0\ </c:formatCode>
                <c:ptCount val="2"/>
                <c:pt idx="0">
                  <c:v>5</c:v>
                </c:pt>
                <c:pt idx="1">
                  <c:v>15</c:v>
                </c:pt>
              </c:numCache>
            </c:numRef>
          </c:yVal>
          <c:smooth val="0"/>
          <c:extLst>
            <c:ext xmlns:c16="http://schemas.microsoft.com/office/drawing/2014/chart" uri="{C3380CC4-5D6E-409C-BE32-E72D297353CC}">
              <c16:uniqueId val="{00000062-C020-4B45-8866-940C11FBE1B5}"/>
            </c:ext>
          </c:extLst>
        </c:ser>
        <c:ser>
          <c:idx val="42"/>
          <c:order val="73"/>
          <c:tx>
            <c:strRef>
              <c:f>Plot!$N$44</c:f>
              <c:strCache>
                <c:ptCount val="1"/>
                <c:pt idx="0">
                  <c:v>J.b</c:v>
                </c:pt>
              </c:strCache>
            </c:strRef>
          </c:tx>
          <c:spPr>
            <a:ln w="12700" cap="rnd">
              <a:solidFill>
                <a:schemeClr val="accent2"/>
              </a:solidFill>
              <a:round/>
            </a:ln>
            <a:effectLst/>
          </c:spPr>
          <c:marker>
            <c:symbol val="circle"/>
            <c:size val="5"/>
            <c:spPr>
              <a:noFill/>
              <a:ln w="9525">
                <a:noFill/>
              </a:ln>
              <a:effectLst/>
            </c:spPr>
          </c:marker>
          <c:xVal>
            <c:numRef>
              <c:f>Plot!$O$44:$P$44</c:f>
              <c:numCache>
                <c:formatCode>#,##0.0_ ;[Red]\-#,##0.0\ </c:formatCode>
                <c:ptCount val="2"/>
                <c:pt idx="0">
                  <c:v>17</c:v>
                </c:pt>
                <c:pt idx="1">
                  <c:v>17</c:v>
                </c:pt>
              </c:numCache>
            </c:numRef>
          </c:xVal>
          <c:yVal>
            <c:numRef>
              <c:f>Plot!$Q$44:$R$44</c:f>
              <c:numCache>
                <c:formatCode>#,##0.0_ ;[Red]\-#,##0.0\ </c:formatCode>
                <c:ptCount val="2"/>
                <c:pt idx="0">
                  <c:v>15</c:v>
                </c:pt>
                <c:pt idx="1">
                  <c:v>35</c:v>
                </c:pt>
              </c:numCache>
            </c:numRef>
          </c:yVal>
          <c:smooth val="0"/>
          <c:extLst>
            <c:ext xmlns:c16="http://schemas.microsoft.com/office/drawing/2014/chart" uri="{C3380CC4-5D6E-409C-BE32-E72D297353CC}">
              <c16:uniqueId val="{00000063-C020-4B45-8866-940C11FBE1B5}"/>
            </c:ext>
          </c:extLst>
        </c:ser>
        <c:ser>
          <c:idx val="53"/>
          <c:order val="74"/>
          <c:tx>
            <c:strRef>
              <c:f>Plot!$I$45</c:f>
              <c:strCache>
                <c:ptCount val="1"/>
                <c:pt idx="0">
                  <c:v>K.a</c:v>
                </c:pt>
              </c:strCache>
            </c:strRef>
          </c:tx>
          <c:spPr>
            <a:ln w="12700" cap="rnd">
              <a:solidFill>
                <a:srgbClr val="0000FF"/>
              </a:solidFill>
              <a:round/>
            </a:ln>
            <a:effectLst/>
          </c:spPr>
          <c:marker>
            <c:symbol val="circle"/>
            <c:size val="5"/>
            <c:spPr>
              <a:noFill/>
              <a:ln w="9525">
                <a:noFill/>
              </a:ln>
              <a:effectLst/>
            </c:spPr>
          </c:marker>
          <c:xVal>
            <c:numRef>
              <c:f>Plot!$J$45:$K$45</c:f>
              <c:numCache>
                <c:formatCode>#,##0.0_ ;[Red]\-#,##0.0\ </c:formatCode>
                <c:ptCount val="2"/>
                <c:pt idx="0">
                  <c:v>4</c:v>
                </c:pt>
                <c:pt idx="1">
                  <c:v>4</c:v>
                </c:pt>
              </c:numCache>
            </c:numRef>
          </c:xVal>
          <c:yVal>
            <c:numRef>
              <c:f>Plot!$L$45:$M$45</c:f>
              <c:numCache>
                <c:formatCode>#,##0.0_ ;[Red]\-#,##0.0\ </c:formatCode>
                <c:ptCount val="2"/>
                <c:pt idx="0">
                  <c:v>-5</c:v>
                </c:pt>
                <c:pt idx="1">
                  <c:v>0</c:v>
                </c:pt>
              </c:numCache>
            </c:numRef>
          </c:yVal>
          <c:smooth val="0"/>
          <c:extLst>
            <c:ext xmlns:c16="http://schemas.microsoft.com/office/drawing/2014/chart" uri="{C3380CC4-5D6E-409C-BE32-E72D297353CC}">
              <c16:uniqueId val="{00000032-C020-4B45-8866-940C11FBE1B5}"/>
            </c:ext>
          </c:extLst>
        </c:ser>
        <c:ser>
          <c:idx val="46"/>
          <c:order val="75"/>
          <c:tx>
            <c:strRef>
              <c:f>Plot!$N$45</c:f>
              <c:strCache>
                <c:ptCount val="1"/>
                <c:pt idx="0">
                  <c:v>K.b</c:v>
                </c:pt>
              </c:strCache>
            </c:strRef>
          </c:tx>
          <c:spPr>
            <a:ln w="25400" cap="rnd">
              <a:noFill/>
              <a:round/>
            </a:ln>
            <a:effectLst/>
          </c:spPr>
          <c:marker>
            <c:symbol val="circle"/>
            <c:size val="5"/>
            <c:spPr>
              <a:solidFill>
                <a:schemeClr val="accent5">
                  <a:lumMod val="70000"/>
                </a:schemeClr>
              </a:solidFill>
              <a:ln w="9525">
                <a:solidFill>
                  <a:schemeClr val="accent5">
                    <a:lumMod val="70000"/>
                  </a:schemeClr>
                </a:solidFill>
              </a:ln>
              <a:effectLst/>
            </c:spPr>
          </c:marker>
          <c:xVal>
            <c:numRef>
              <c:f>Plot!$O$45:$P$45</c:f>
              <c:numCache>
                <c:formatCode>#,##0.0_ ;[Red]\-#,##0.0\ </c:formatCode>
                <c:ptCount val="2"/>
                <c:pt idx="0">
                  <c:v>4</c:v>
                </c:pt>
                <c:pt idx="1">
                  <c:v>4</c:v>
                </c:pt>
              </c:numCache>
            </c:numRef>
          </c:xVal>
          <c:yVal>
            <c:numRef>
              <c:f>Plot!$Q$45:$R$45</c:f>
              <c:numCache>
                <c:formatCode>#,##0.0_ ;[Red]\-#,##0.0\ </c:formatCode>
                <c:ptCount val="2"/>
                <c:pt idx="0">
                  <c:v>0</c:v>
                </c:pt>
                <c:pt idx="1">
                  <c:v>25</c:v>
                </c:pt>
              </c:numCache>
            </c:numRef>
          </c:yVal>
          <c:smooth val="0"/>
          <c:extLst>
            <c:ext xmlns:c16="http://schemas.microsoft.com/office/drawing/2014/chart" uri="{C3380CC4-5D6E-409C-BE32-E72D297353CC}">
              <c16:uniqueId val="{00000065-C020-4B45-8866-940C11FBE1B5}"/>
            </c:ext>
          </c:extLst>
        </c:ser>
        <c:ser>
          <c:idx val="72"/>
          <c:order val="76"/>
          <c:tx>
            <c:strRef>
              <c:f>Plot!$I$46</c:f>
              <c:strCache>
                <c:ptCount val="1"/>
                <c:pt idx="0">
                  <c:v>Z.a</c:v>
                </c:pt>
              </c:strCache>
            </c:strRef>
          </c:tx>
          <c:spPr>
            <a:ln w="25400" cap="rnd">
              <a:noFill/>
              <a:round/>
            </a:ln>
            <a:effectLst/>
          </c:spPr>
          <c:marker>
            <c:symbol val="circle"/>
            <c:size val="5"/>
            <c:spPr>
              <a:solidFill>
                <a:schemeClr val="accent1">
                  <a:lumMod val="80000"/>
                </a:schemeClr>
              </a:solidFill>
              <a:ln w="9525">
                <a:solidFill>
                  <a:schemeClr val="accent1">
                    <a:lumMod val="80000"/>
                  </a:schemeClr>
                </a:solidFill>
              </a:ln>
              <a:effectLst/>
            </c:spPr>
          </c:marker>
          <c:xVal>
            <c:numRef>
              <c:f>Plot!$J$46:$K$46</c:f>
              <c:numCache>
                <c:formatCode>#,##0.0_ ;[Red]\-#,##0.0\ </c:formatCode>
                <c:ptCount val="2"/>
                <c:pt idx="0">
                  <c:v>10</c:v>
                </c:pt>
                <c:pt idx="1">
                  <c:v>10</c:v>
                </c:pt>
              </c:numCache>
            </c:numRef>
          </c:xVal>
          <c:yVal>
            <c:numRef>
              <c:f>Plot!$L$46:$M$46</c:f>
              <c:numCache>
                <c:formatCode>#,##0.0_ ;[Red]\-#,##0.0\ </c:formatCode>
                <c:ptCount val="2"/>
                <c:pt idx="0">
                  <c:v>-15</c:v>
                </c:pt>
                <c:pt idx="1">
                  <c:v>10</c:v>
                </c:pt>
              </c:numCache>
            </c:numRef>
          </c:yVal>
          <c:smooth val="0"/>
          <c:extLst>
            <c:ext xmlns:c16="http://schemas.microsoft.com/office/drawing/2014/chart" uri="{C3380CC4-5D6E-409C-BE32-E72D297353CC}">
              <c16:uniqueId val="{00000068-C020-4B45-8866-940C11FBE1B5}"/>
            </c:ext>
          </c:extLst>
        </c:ser>
        <c:ser>
          <c:idx val="73"/>
          <c:order val="77"/>
          <c:tx>
            <c:strRef>
              <c:f>Plot!$N$46</c:f>
              <c:strCache>
                <c:ptCount val="1"/>
                <c:pt idx="0">
                  <c:v>Z.b</c:v>
                </c:pt>
              </c:strCache>
            </c:strRef>
          </c:tx>
          <c:spPr>
            <a:ln w="25400" cap="rnd">
              <a:noFill/>
              <a:round/>
            </a:ln>
            <a:effectLst/>
          </c:spPr>
          <c:marker>
            <c:symbol val="circle"/>
            <c:size val="5"/>
            <c:spPr>
              <a:solidFill>
                <a:schemeClr val="accent2">
                  <a:lumMod val="80000"/>
                </a:schemeClr>
              </a:solidFill>
              <a:ln w="9525">
                <a:solidFill>
                  <a:schemeClr val="accent2">
                    <a:lumMod val="80000"/>
                  </a:schemeClr>
                </a:solidFill>
              </a:ln>
              <a:effectLst/>
            </c:spPr>
          </c:marker>
          <c:xVal>
            <c:numRef>
              <c:f>Plot!$O$46:$P$46</c:f>
              <c:numCache>
                <c:formatCode>#,##0.0_ ;[Red]\-#,##0.0\ </c:formatCode>
                <c:ptCount val="2"/>
                <c:pt idx="0">
                  <c:v>10</c:v>
                </c:pt>
                <c:pt idx="1">
                  <c:v>10</c:v>
                </c:pt>
              </c:numCache>
            </c:numRef>
          </c:xVal>
          <c:yVal>
            <c:numRef>
              <c:f>Plot!$Q$46:$R$46</c:f>
              <c:numCache>
                <c:formatCode>#,##0.0_ ;[Red]\-#,##0.0\ </c:formatCode>
                <c:ptCount val="2"/>
                <c:pt idx="0">
                  <c:v>10</c:v>
                </c:pt>
                <c:pt idx="1">
                  <c:v>35</c:v>
                </c:pt>
              </c:numCache>
            </c:numRef>
          </c:yVal>
          <c:smooth val="0"/>
          <c:extLst>
            <c:ext xmlns:c16="http://schemas.microsoft.com/office/drawing/2014/chart" uri="{C3380CC4-5D6E-409C-BE32-E72D297353CC}">
              <c16:uniqueId val="{00000069-C020-4B45-8866-940C11FBE1B5}"/>
            </c:ext>
          </c:extLst>
        </c:ser>
        <c:dLbls>
          <c:showLegendKey val="0"/>
          <c:showVal val="0"/>
          <c:showCatName val="0"/>
          <c:showSerName val="0"/>
          <c:showPercent val="0"/>
          <c:showBubbleSize val="0"/>
        </c:dLbls>
        <c:axId val="12881839"/>
        <c:axId val="12884239"/>
      </c:scatterChart>
      <c:valAx>
        <c:axId val="12881839"/>
        <c:scaling>
          <c:orientation val="minMax"/>
        </c:scaling>
        <c:delete val="0"/>
        <c:axPos val="b"/>
        <c:numFmt formatCode="#,##0_ ;[Red]\-#,##0\ " sourceLinked="0"/>
        <c:majorTickMark val="cross"/>
        <c:minorTickMark val="out"/>
        <c:tickLblPos val="nextTo"/>
        <c:spPr>
          <a:noFill/>
          <a:ln w="9525" cap="flat" cmpd="sng" algn="ctr">
            <a:solidFill>
              <a:srgbClr val="0070C0"/>
            </a:solidFill>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DK"/>
          </a:p>
        </c:txPr>
        <c:crossAx val="12884239"/>
        <c:crosses val="autoZero"/>
        <c:crossBetween val="midCat"/>
      </c:valAx>
      <c:valAx>
        <c:axId val="12884239"/>
        <c:scaling>
          <c:orientation val="minMax"/>
        </c:scaling>
        <c:delete val="0"/>
        <c:axPos val="l"/>
        <c:majorGridlines>
          <c:spPr>
            <a:ln w="9525" cap="flat" cmpd="sng" algn="ctr">
              <a:solidFill>
                <a:schemeClr val="tx1">
                  <a:lumMod val="15000"/>
                  <a:lumOff val="85000"/>
                </a:schemeClr>
              </a:solidFill>
              <a:round/>
            </a:ln>
            <a:effectLst/>
          </c:spPr>
        </c:majorGridlines>
        <c:numFmt formatCode="#,##0_ ;[Red]\-#,##0\ " sourceLinked="0"/>
        <c:majorTickMark val="cross"/>
        <c:minorTickMark val="out"/>
        <c:tickLblPos val="nextTo"/>
        <c:spPr>
          <a:noFill/>
          <a:ln>
            <a:solidFill>
              <a:schemeClr val="accent1"/>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DK"/>
          </a:p>
        </c:txPr>
        <c:crossAx val="12881839"/>
        <c:crosses val="autoZero"/>
        <c:crossBetween val="midCat"/>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DK"/>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200" b="0" i="0" u="none" strike="noStrike" kern="1200" spc="0" baseline="0">
                <a:solidFill>
                  <a:schemeClr val="tx1"/>
                </a:solidFill>
                <a:latin typeface="+mn-lt"/>
                <a:ea typeface="+mn-ea"/>
                <a:cs typeface="+mn-cs"/>
              </a:defRPr>
            </a:pPr>
            <a:r>
              <a:rPr lang="en-GB" sz="1800" b="1" baseline="0">
                <a:solidFill>
                  <a:schemeClr val="tx1"/>
                </a:solidFill>
              </a:rPr>
              <a:t>Top10 Uncertainties</a:t>
            </a:r>
          </a:p>
        </c:rich>
      </c:tx>
      <c:layout>
        <c:manualLayout>
          <c:xMode val="edge"/>
          <c:yMode val="edge"/>
          <c:x val="4.7729940430377954E-2"/>
          <c:y val="0.11721516922927393"/>
        </c:manualLayout>
      </c:layout>
      <c:overlay val="0"/>
      <c:spPr>
        <a:noFill/>
        <a:ln>
          <a:noFill/>
        </a:ln>
        <a:effectLst/>
      </c:spPr>
      <c:txPr>
        <a:bodyPr rot="0" spcFirstLastPara="1" vertOverflow="ellipsis" vert="horz" wrap="square" anchor="ctr" anchorCtr="1"/>
        <a:lstStyle/>
        <a:p>
          <a:pPr>
            <a:defRPr sz="2200" b="0" i="0" u="none" strike="noStrike" kern="1200" spc="0" baseline="0">
              <a:solidFill>
                <a:schemeClr val="tx1"/>
              </a:solidFill>
              <a:latin typeface="+mn-lt"/>
              <a:ea typeface="+mn-ea"/>
              <a:cs typeface="+mn-cs"/>
            </a:defRPr>
          </a:pPr>
          <a:endParaRPr lang="en-DK"/>
        </a:p>
      </c:txPr>
    </c:title>
    <c:autoTitleDeleted val="0"/>
    <c:plotArea>
      <c:layout>
        <c:manualLayout>
          <c:layoutTarget val="inner"/>
          <c:xMode val="edge"/>
          <c:yMode val="edge"/>
          <c:x val="0.20976057748276672"/>
          <c:y val="0.18293949186380748"/>
          <c:w val="0.76144989909187533"/>
          <c:h val="0.74606474827029789"/>
        </c:manualLayout>
      </c:layout>
      <c:barChart>
        <c:barDir val="bar"/>
        <c:grouping val="clustered"/>
        <c:varyColors val="0"/>
        <c:ser>
          <c:idx val="0"/>
          <c:order val="0"/>
          <c:tx>
            <c:strRef>
              <c:f>Data!$AL$10</c:f>
              <c:strCache>
                <c:ptCount val="1"/>
                <c:pt idx="0">
                  <c:v>Min</c:v>
                </c:pt>
              </c:strCache>
            </c:strRef>
          </c:tx>
          <c:spPr>
            <a:solidFill>
              <a:srgbClr val="92D050"/>
            </a:solidFill>
            <a:ln>
              <a:noFill/>
            </a:ln>
            <a:effectLst/>
          </c:spPr>
          <c:invertIfNegative val="0"/>
          <c:cat>
            <c:strRef>
              <c:f>Data!$AP$11:$AP$20</c:f>
              <c:strCache>
                <c:ptCount val="10"/>
                <c:pt idx="0">
                  <c:v>#1: GU(C): Compet. &amp; Experience level, P= 21,3%</c:v>
                </c:pt>
                <c:pt idx="1">
                  <c:v>#2: GU(A): Contracting strategy, P= 13,2%</c:v>
                </c:pt>
                <c:pt idx="2">
                  <c:v>#3: GU(H): Req. &amp; quality control, P= 10,9%</c:v>
                </c:pt>
                <c:pt idx="3">
                  <c:v>#4: GU(F): External conditions, P= 10,9%</c:v>
                </c:pt>
                <c:pt idx="4">
                  <c:v>#5: Opg15: Accommodation, P= 8,8%</c:v>
                </c:pt>
                <c:pt idx="5">
                  <c:v>#6: Opg13: Raw house, P= 6,1%</c:v>
                </c:pt>
                <c:pt idx="6">
                  <c:v>#7: GU(I): Political issues, P= 6,1%</c:v>
                </c:pt>
                <c:pt idx="7">
                  <c:v>#8: GU(B): Interfaces, P= 6,1%</c:v>
                </c:pt>
                <c:pt idx="8">
                  <c:v>#9: Opg40: Other, P= 3,3%</c:v>
                </c:pt>
                <c:pt idx="9">
                  <c:v>#10: Opg16: Installations, P= 3,3%</c:v>
                </c:pt>
              </c:strCache>
            </c:strRef>
          </c:cat>
          <c:val>
            <c:numRef>
              <c:f>Data!$AL$11:$AL$20</c:f>
              <c:numCache>
                <c:formatCode>0.0%</c:formatCode>
                <c:ptCount val="10"/>
                <c:pt idx="0">
                  <c:v>0.89332751011578382</c:v>
                </c:pt>
                <c:pt idx="1">
                  <c:v>0.93414606491841756</c:v>
                </c:pt>
                <c:pt idx="2">
                  <c:v>0.94557526026315508</c:v>
                </c:pt>
                <c:pt idx="3">
                  <c:v>0.94557526026315508</c:v>
                </c:pt>
                <c:pt idx="4">
                  <c:v>0.95591596081315555</c:v>
                </c:pt>
                <c:pt idx="5">
                  <c:v>0.96938608389802472</c:v>
                </c:pt>
                <c:pt idx="6">
                  <c:v>0.96938608389802472</c:v>
                </c:pt>
                <c:pt idx="7">
                  <c:v>0.96938608389802472</c:v>
                </c:pt>
                <c:pt idx="8">
                  <c:v>0.98353651622960436</c:v>
                </c:pt>
                <c:pt idx="9">
                  <c:v>0.98353651622960436</c:v>
                </c:pt>
              </c:numCache>
            </c:numRef>
          </c:val>
          <c:extLst>
            <c:ext xmlns:c16="http://schemas.microsoft.com/office/drawing/2014/chart" uri="{C3380CC4-5D6E-409C-BE32-E72D297353CC}">
              <c16:uniqueId val="{00000000-2566-4371-8A0C-5E40AA4A5025}"/>
            </c:ext>
          </c:extLst>
        </c:ser>
        <c:ser>
          <c:idx val="2"/>
          <c:order val="1"/>
          <c:tx>
            <c:strRef>
              <c:f>Data!$AM$10</c:f>
              <c:strCache>
                <c:ptCount val="1"/>
                <c:pt idx="0">
                  <c:v>Mean</c:v>
                </c:pt>
              </c:strCache>
            </c:strRef>
          </c:tx>
          <c:spPr>
            <a:solidFill>
              <a:schemeClr val="tx2">
                <a:lumMod val="60000"/>
                <a:lumOff val="40000"/>
              </a:schemeClr>
            </a:solidFill>
            <a:ln>
              <a:noFill/>
            </a:ln>
            <a:effectLst/>
          </c:spPr>
          <c:invertIfNegative val="0"/>
          <c:cat>
            <c:strRef>
              <c:f>Data!$AP$11:$AP$20</c:f>
              <c:strCache>
                <c:ptCount val="10"/>
                <c:pt idx="0">
                  <c:v>#1: GU(C): Compet. &amp; Experience level, P= 21,3%</c:v>
                </c:pt>
                <c:pt idx="1">
                  <c:v>#2: GU(A): Contracting strategy, P= 13,2%</c:v>
                </c:pt>
                <c:pt idx="2">
                  <c:v>#3: GU(H): Req. &amp; quality control, P= 10,9%</c:v>
                </c:pt>
                <c:pt idx="3">
                  <c:v>#4: GU(F): External conditions, P= 10,9%</c:v>
                </c:pt>
                <c:pt idx="4">
                  <c:v>#5: Opg15: Accommodation, P= 8,8%</c:v>
                </c:pt>
                <c:pt idx="5">
                  <c:v>#6: Opg13: Raw house, P= 6,1%</c:v>
                </c:pt>
                <c:pt idx="6">
                  <c:v>#7: GU(I): Political issues, P= 6,1%</c:v>
                </c:pt>
                <c:pt idx="7">
                  <c:v>#8: GU(B): Interfaces, P= 6,1%</c:v>
                </c:pt>
                <c:pt idx="8">
                  <c:v>#9: Opg40: Other, P= 3,3%</c:v>
                </c:pt>
                <c:pt idx="9">
                  <c:v>#10: Opg16: Installations, P= 3,3%</c:v>
                </c:pt>
              </c:strCache>
            </c:strRef>
          </c:cat>
          <c:val>
            <c:numRef>
              <c:f>Data!$AM$11:$AM$20</c:f>
              <c:numCache>
                <c:formatCode>0.0%</c:formatCode>
                <c:ptCount val="10"/>
                <c:pt idx="0">
                  <c:v>1</c:v>
                </c:pt>
                <c:pt idx="1">
                  <c:v>1</c:v>
                </c:pt>
                <c:pt idx="2">
                  <c:v>1</c:v>
                </c:pt>
                <c:pt idx="3">
                  <c:v>1</c:v>
                </c:pt>
                <c:pt idx="4">
                  <c:v>1</c:v>
                </c:pt>
                <c:pt idx="5">
                  <c:v>1</c:v>
                </c:pt>
                <c:pt idx="6">
                  <c:v>1</c:v>
                </c:pt>
                <c:pt idx="7">
                  <c:v>1</c:v>
                </c:pt>
                <c:pt idx="8">
                  <c:v>1</c:v>
                </c:pt>
                <c:pt idx="9">
                  <c:v>1</c:v>
                </c:pt>
              </c:numCache>
            </c:numRef>
          </c:val>
          <c:extLst>
            <c:ext xmlns:c16="http://schemas.microsoft.com/office/drawing/2014/chart" uri="{C3380CC4-5D6E-409C-BE32-E72D297353CC}">
              <c16:uniqueId val="{00000002-2566-4371-8A0C-5E40AA4A5025}"/>
            </c:ext>
          </c:extLst>
        </c:ser>
        <c:ser>
          <c:idx val="1"/>
          <c:order val="2"/>
          <c:tx>
            <c:strRef>
              <c:f>Data!$AN$10</c:f>
              <c:strCache>
                <c:ptCount val="1"/>
                <c:pt idx="0">
                  <c:v>Max</c:v>
                </c:pt>
              </c:strCache>
            </c:strRef>
          </c:tx>
          <c:spPr>
            <a:solidFill>
              <a:schemeClr val="accent2"/>
            </a:solidFill>
            <a:ln>
              <a:noFill/>
            </a:ln>
            <a:effectLst/>
          </c:spPr>
          <c:invertIfNegative val="0"/>
          <c:cat>
            <c:strRef>
              <c:f>Data!$AP$11:$AP$20</c:f>
              <c:strCache>
                <c:ptCount val="10"/>
                <c:pt idx="0">
                  <c:v>#1: GU(C): Compet. &amp; Experience level, P= 21,3%</c:v>
                </c:pt>
                <c:pt idx="1">
                  <c:v>#2: GU(A): Contracting strategy, P= 13,2%</c:v>
                </c:pt>
                <c:pt idx="2">
                  <c:v>#3: GU(H): Req. &amp; quality control, P= 10,9%</c:v>
                </c:pt>
                <c:pt idx="3">
                  <c:v>#4: GU(F): External conditions, P= 10,9%</c:v>
                </c:pt>
                <c:pt idx="4">
                  <c:v>#5: Opg15: Accommodation, P= 8,8%</c:v>
                </c:pt>
                <c:pt idx="5">
                  <c:v>#6: Opg13: Raw house, P= 6,1%</c:v>
                </c:pt>
                <c:pt idx="6">
                  <c:v>#7: GU(I): Political issues, P= 6,1%</c:v>
                </c:pt>
                <c:pt idx="7">
                  <c:v>#8: GU(B): Interfaces, P= 6,1%</c:v>
                </c:pt>
                <c:pt idx="8">
                  <c:v>#9: Opg40: Other, P= 3,3%</c:v>
                </c:pt>
                <c:pt idx="9">
                  <c:v>#10: Opg16: Installations, P= 3,3%</c:v>
                </c:pt>
              </c:strCache>
            </c:strRef>
          </c:cat>
          <c:val>
            <c:numRef>
              <c:f>Data!$AN$11:$AN$20</c:f>
              <c:numCache>
                <c:formatCode>0.0%</c:formatCode>
                <c:ptCount val="10"/>
                <c:pt idx="0">
                  <c:v>1.1066724898842162</c:v>
                </c:pt>
                <c:pt idx="1">
                  <c:v>1.0658539350815823</c:v>
                </c:pt>
                <c:pt idx="2">
                  <c:v>1.0544247397368449</c:v>
                </c:pt>
                <c:pt idx="3">
                  <c:v>1.0544247397368449</c:v>
                </c:pt>
                <c:pt idx="4">
                  <c:v>1.0440840391868444</c:v>
                </c:pt>
                <c:pt idx="5">
                  <c:v>1.0306139161019754</c:v>
                </c:pt>
                <c:pt idx="6">
                  <c:v>1.0306139161019754</c:v>
                </c:pt>
                <c:pt idx="7">
                  <c:v>1.0306139161019754</c:v>
                </c:pt>
                <c:pt idx="8">
                  <c:v>1.0164634837703956</c:v>
                </c:pt>
                <c:pt idx="9">
                  <c:v>1.0164634837703956</c:v>
                </c:pt>
              </c:numCache>
            </c:numRef>
          </c:val>
          <c:extLst>
            <c:ext xmlns:c16="http://schemas.microsoft.com/office/drawing/2014/chart" uri="{C3380CC4-5D6E-409C-BE32-E72D297353CC}">
              <c16:uniqueId val="{00000001-2566-4371-8A0C-5E40AA4A5025}"/>
            </c:ext>
          </c:extLst>
        </c:ser>
        <c:dLbls>
          <c:showLegendKey val="0"/>
          <c:showVal val="0"/>
          <c:showCatName val="0"/>
          <c:showSerName val="0"/>
          <c:showPercent val="0"/>
          <c:showBubbleSize val="0"/>
        </c:dLbls>
        <c:gapWidth val="182"/>
        <c:overlap val="100"/>
        <c:axId val="1014732824"/>
        <c:axId val="1014733216"/>
      </c:barChart>
      <c:catAx>
        <c:axId val="1014732824"/>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solidFill>
                <a:latin typeface="+mn-lt"/>
                <a:ea typeface="+mn-ea"/>
                <a:cs typeface="+mn-cs"/>
              </a:defRPr>
            </a:pPr>
            <a:endParaRPr lang="en-DK"/>
          </a:p>
        </c:txPr>
        <c:crossAx val="1014733216"/>
        <c:crossesAt val="1"/>
        <c:auto val="1"/>
        <c:lblAlgn val="ctr"/>
        <c:lblOffset val="100"/>
        <c:noMultiLvlLbl val="0"/>
      </c:catAx>
      <c:valAx>
        <c:axId val="1014733216"/>
        <c:scaling>
          <c:orientation val="minMax"/>
          <c:min val="0.8"/>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n-DK"/>
          </a:p>
        </c:txPr>
        <c:crossAx val="1014732824"/>
        <c:crosses val="autoZero"/>
        <c:crossBetween val="between"/>
        <c:majorUnit val="5.000000000000001E-2"/>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DK"/>
        </a:p>
      </c:txPr>
    </c:legend>
    <c:plotVisOnly val="0"/>
    <c:dispBlanksAs val="gap"/>
    <c:showDLblsOverMax val="0"/>
  </c:chart>
  <c:spPr>
    <a:solidFill>
      <a:schemeClr val="bg1"/>
    </a:solidFill>
    <a:ln w="19050" cap="flat" cmpd="sng" algn="ctr">
      <a:solidFill>
        <a:schemeClr val="accent1"/>
      </a:solidFill>
      <a:round/>
    </a:ln>
    <a:effectLst/>
  </c:spPr>
  <c:txPr>
    <a:bodyPr/>
    <a:lstStyle/>
    <a:p>
      <a:pPr>
        <a:defRPr/>
      </a:pPr>
      <a:endParaRPr lang="en-DK"/>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500" b="1" i="0" baseline="0"/>
            </a:pPr>
            <a:r>
              <a:rPr lang="da-DK" sz="1500" b="1" i="0" baseline="0">
                <a:effectLst/>
              </a:rPr>
              <a:t>Accu. Probability curve P(ii) Budget </a:t>
            </a:r>
            <a:endParaRPr lang="en-GB" sz="1500">
              <a:effectLst/>
            </a:endParaRPr>
          </a:p>
        </c:rich>
      </c:tx>
      <c:layout>
        <c:manualLayout>
          <c:xMode val="edge"/>
          <c:yMode val="edge"/>
          <c:x val="0.2424503983187771"/>
          <c:y val="5.4407255262810553E-2"/>
        </c:manualLayout>
      </c:layout>
      <c:overlay val="0"/>
      <c:spPr>
        <a:noFill/>
        <a:ln w="25400">
          <a:noFill/>
        </a:ln>
      </c:spPr>
    </c:title>
    <c:autoTitleDeleted val="0"/>
    <c:plotArea>
      <c:layout>
        <c:manualLayout>
          <c:layoutTarget val="inner"/>
          <c:xMode val="edge"/>
          <c:yMode val="edge"/>
          <c:x val="0.12183419893087336"/>
          <c:y val="0.12589413447782546"/>
          <c:w val="0.8415575654659192"/>
          <c:h val="0.77253218884120167"/>
        </c:manualLayout>
      </c:layout>
      <c:scatterChart>
        <c:scatterStyle val="smoothMarker"/>
        <c:varyColors val="0"/>
        <c:ser>
          <c:idx val="0"/>
          <c:order val="0"/>
          <c:tx>
            <c:v>S-Kurven</c:v>
          </c:tx>
          <c:spPr>
            <a:ln w="38100">
              <a:solidFill>
                <a:srgbClr val="0000FF"/>
              </a:solidFill>
              <a:prstDash val="solid"/>
            </a:ln>
          </c:spPr>
          <c:marker>
            <c:symbol val="none"/>
          </c:marker>
          <c:xVal>
            <c:numRef>
              <c:f>CurveData!$D$15:$D$27</c:f>
              <c:numCache>
                <c:formatCode>General</c:formatCode>
                <c:ptCount val="13"/>
                <c:pt idx="0">
                  <c:v>312.09991955862381</c:v>
                </c:pt>
                <c:pt idx="1">
                  <c:v>342.40998134885314</c:v>
                </c:pt>
                <c:pt idx="2">
                  <c:v>372.72004313908252</c:v>
                </c:pt>
                <c:pt idx="3">
                  <c:v>403.03010492931185</c:v>
                </c:pt>
                <c:pt idx="4">
                  <c:v>433.34016671954123</c:v>
                </c:pt>
                <c:pt idx="5">
                  <c:v>463.65022850977056</c:v>
                </c:pt>
                <c:pt idx="6">
                  <c:v>493.96029029999994</c:v>
                </c:pt>
                <c:pt idx="7">
                  <c:v>524.27035209022927</c:v>
                </c:pt>
                <c:pt idx="8">
                  <c:v>554.58041388045865</c:v>
                </c:pt>
                <c:pt idx="9">
                  <c:v>584.89047567068803</c:v>
                </c:pt>
                <c:pt idx="10">
                  <c:v>615.20053746091742</c:v>
                </c:pt>
                <c:pt idx="11">
                  <c:v>645.51059925114669</c:v>
                </c:pt>
                <c:pt idx="12">
                  <c:v>675.82066104137607</c:v>
                </c:pt>
              </c:numCache>
            </c:numRef>
          </c:xVal>
          <c:yVal>
            <c:numRef>
              <c:f>CurveData!$F$15:$F$27</c:f>
              <c:numCache>
                <c:formatCode>0.000%</c:formatCode>
                <c:ptCount val="13"/>
                <c:pt idx="0">
                  <c:v>1.3498980316300954E-3</c:v>
                </c:pt>
                <c:pt idx="1">
                  <c:v>6.2096653257761331E-3</c:v>
                </c:pt>
                <c:pt idx="2">
                  <c:v>2.2750131948179219E-2</c:v>
                </c:pt>
                <c:pt idx="3">
                  <c:v>6.6807201268858057E-2</c:v>
                </c:pt>
                <c:pt idx="4">
                  <c:v>0.15865525393145713</c:v>
                </c:pt>
                <c:pt idx="5">
                  <c:v>0.30853753872598666</c:v>
                </c:pt>
                <c:pt idx="6">
                  <c:v>0.5</c:v>
                </c:pt>
                <c:pt idx="7">
                  <c:v>0.69146246127401301</c:v>
                </c:pt>
                <c:pt idx="8">
                  <c:v>0.84134474606854281</c:v>
                </c:pt>
                <c:pt idx="9">
                  <c:v>0.93319279873114191</c:v>
                </c:pt>
                <c:pt idx="10">
                  <c:v>0.9772498680518209</c:v>
                </c:pt>
                <c:pt idx="11">
                  <c:v>0.99379033467422384</c:v>
                </c:pt>
                <c:pt idx="12">
                  <c:v>0.9986501019683699</c:v>
                </c:pt>
              </c:numCache>
            </c:numRef>
          </c:yVal>
          <c:smooth val="1"/>
          <c:extLst>
            <c:ext xmlns:c16="http://schemas.microsoft.com/office/drawing/2014/chart" uri="{C3380CC4-5D6E-409C-BE32-E72D297353CC}">
              <c16:uniqueId val="{00000000-A26B-49B9-ADFD-9722D6CE1EC9}"/>
            </c:ext>
          </c:extLst>
        </c:ser>
        <c:ser>
          <c:idx val="1"/>
          <c:order val="1"/>
          <c:tx>
            <c:v>P(50)</c:v>
          </c:tx>
          <c:spPr>
            <a:ln w="25400">
              <a:solidFill>
                <a:srgbClr val="800080"/>
              </a:solidFill>
              <a:prstDash val="lgDash"/>
            </a:ln>
          </c:spPr>
          <c:marker>
            <c:symbol val="none"/>
          </c:marker>
          <c:dLbls>
            <c:dLbl>
              <c:idx val="1"/>
              <c:numFmt formatCode="0.0%" sourceLinked="0"/>
              <c:spPr>
                <a:solidFill>
                  <a:srgbClr val="FFFFFF"/>
                </a:solidFill>
                <a:ln w="25400">
                  <a:solidFill>
                    <a:srgbClr val="000000"/>
                  </a:solidFill>
                </a:ln>
              </c:spPr>
              <c:txPr>
                <a:bodyPr wrap="square" lIns="38100" tIns="19050" rIns="38100" bIns="19050" anchor="ctr">
                  <a:spAutoFit/>
                </a:bodyPr>
                <a:lstStyle/>
                <a:p>
                  <a:pPr>
                    <a:defRPr b="1"/>
                  </a:pPr>
                  <a:endParaRPr lang="en-DK"/>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26B-49B9-ADFD-9722D6CE1EC9}"/>
                </c:ext>
              </c:extLst>
            </c:dLbl>
            <c:numFmt formatCode="0.0" sourceLinked="0"/>
            <c:spPr>
              <a:solidFill>
                <a:srgbClr val="FFFFFF"/>
              </a:solidFill>
              <a:ln w="25400">
                <a:solidFill>
                  <a:srgbClr val="000000"/>
                </a:solidFill>
              </a:ln>
            </c:spPr>
            <c:txPr>
              <a:bodyPr wrap="square" lIns="38100" tIns="19050" rIns="38100" bIns="19050" anchor="ctr">
                <a:spAutoFit/>
              </a:bodyPr>
              <a:lstStyle/>
              <a:p>
                <a:pPr>
                  <a:defRPr b="1"/>
                </a:pPr>
                <a:endParaRPr lang="en-DK"/>
              </a:p>
            </c:txPr>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xVal>
            <c:numRef>
              <c:f>CurveData!$F$2:$F$3</c:f>
              <c:numCache>
                <c:formatCode>General</c:formatCode>
                <c:ptCount val="2"/>
                <c:pt idx="0">
                  <c:v>493.96029029999994</c:v>
                </c:pt>
                <c:pt idx="1">
                  <c:v>493.96029029999994</c:v>
                </c:pt>
              </c:numCache>
            </c:numRef>
          </c:xVal>
          <c:yVal>
            <c:numRef>
              <c:f>CurveData!$G$2:$G$3</c:f>
              <c:numCache>
                <c:formatCode>0.00%</c:formatCode>
                <c:ptCount val="2"/>
                <c:pt idx="0">
                  <c:v>0</c:v>
                </c:pt>
                <c:pt idx="1">
                  <c:v>0.5</c:v>
                </c:pt>
              </c:numCache>
            </c:numRef>
          </c:yVal>
          <c:smooth val="1"/>
          <c:extLst>
            <c:ext xmlns:c16="http://schemas.microsoft.com/office/drawing/2014/chart" uri="{C3380CC4-5D6E-409C-BE32-E72D297353CC}">
              <c16:uniqueId val="{00000002-A26B-49B9-ADFD-9722D6CE1EC9}"/>
            </c:ext>
          </c:extLst>
        </c:ser>
        <c:ser>
          <c:idx val="2"/>
          <c:order val="2"/>
          <c:tx>
            <c:v>P(50)</c:v>
          </c:tx>
          <c:spPr>
            <a:ln w="25400">
              <a:solidFill>
                <a:srgbClr val="800080"/>
              </a:solidFill>
              <a:prstDash val="lgDash"/>
            </a:ln>
          </c:spPr>
          <c:marker>
            <c:symbol val="none"/>
          </c:marker>
          <c:xVal>
            <c:numRef>
              <c:f>CurveData!$H$2:$H$3</c:f>
              <c:numCache>
                <c:formatCode>General</c:formatCode>
                <c:ptCount val="2"/>
                <c:pt idx="0">
                  <c:v>0</c:v>
                </c:pt>
                <c:pt idx="1">
                  <c:v>493.96029029999994</c:v>
                </c:pt>
              </c:numCache>
            </c:numRef>
          </c:xVal>
          <c:yVal>
            <c:numRef>
              <c:f>CurveData!$I$2:$I$3</c:f>
              <c:numCache>
                <c:formatCode>0.00%</c:formatCode>
                <c:ptCount val="2"/>
                <c:pt idx="0">
                  <c:v>0.5</c:v>
                </c:pt>
                <c:pt idx="1">
                  <c:v>0.5</c:v>
                </c:pt>
              </c:numCache>
            </c:numRef>
          </c:yVal>
          <c:smooth val="1"/>
          <c:extLst>
            <c:ext xmlns:c16="http://schemas.microsoft.com/office/drawing/2014/chart" uri="{C3380CC4-5D6E-409C-BE32-E72D297353CC}">
              <c16:uniqueId val="{00000003-A26B-49B9-ADFD-9722D6CE1EC9}"/>
            </c:ext>
          </c:extLst>
        </c:ser>
        <c:ser>
          <c:idx val="5"/>
          <c:order val="3"/>
          <c:tx>
            <c:strRef>
              <c:f>Data!$G$182</c:f>
              <c:strCache>
                <c:ptCount val="1"/>
                <c:pt idx="0">
                  <c:v>P(85)</c:v>
                </c:pt>
              </c:strCache>
            </c:strRef>
          </c:tx>
          <c:spPr>
            <a:ln w="25400">
              <a:solidFill>
                <a:srgbClr val="008000"/>
              </a:solidFill>
              <a:prstDash val="sysDash"/>
            </a:ln>
          </c:spPr>
          <c:marker>
            <c:symbol val="none"/>
          </c:marker>
          <c:xVal>
            <c:numRef>
              <c:f>CurveData!$K$2:$K$3</c:f>
              <c:numCache>
                <c:formatCode>#,##0.00</c:formatCode>
                <c:ptCount val="2"/>
                <c:pt idx="0" formatCode="General">
                  <c:v>0</c:v>
                </c:pt>
                <c:pt idx="1">
                  <c:v>556.78901045402722</c:v>
                </c:pt>
              </c:numCache>
            </c:numRef>
          </c:xVal>
          <c:yVal>
            <c:numRef>
              <c:f>CurveData!$L$2:$L$3</c:f>
              <c:numCache>
                <c:formatCode>0.00%</c:formatCode>
                <c:ptCount val="2"/>
                <c:pt idx="0">
                  <c:v>0.85</c:v>
                </c:pt>
                <c:pt idx="1">
                  <c:v>0.85</c:v>
                </c:pt>
              </c:numCache>
            </c:numRef>
          </c:yVal>
          <c:smooth val="1"/>
          <c:extLst>
            <c:ext xmlns:c16="http://schemas.microsoft.com/office/drawing/2014/chart" uri="{C3380CC4-5D6E-409C-BE32-E72D297353CC}">
              <c16:uniqueId val="{00000004-A26B-49B9-ADFD-9722D6CE1EC9}"/>
            </c:ext>
          </c:extLst>
        </c:ser>
        <c:ser>
          <c:idx val="6"/>
          <c:order val="4"/>
          <c:tx>
            <c:strRef>
              <c:f>Data!$G$182</c:f>
              <c:strCache>
                <c:ptCount val="1"/>
                <c:pt idx="0">
                  <c:v>P(85)</c:v>
                </c:pt>
              </c:strCache>
            </c:strRef>
          </c:tx>
          <c:spPr>
            <a:ln w="25400">
              <a:solidFill>
                <a:srgbClr val="008000"/>
              </a:solidFill>
              <a:prstDash val="sysDash"/>
            </a:ln>
          </c:spPr>
          <c:marker>
            <c:symbol val="none"/>
          </c:marker>
          <c:dLbls>
            <c:dLbl>
              <c:idx val="0"/>
              <c:numFmt formatCode="0.0" sourceLinked="0"/>
              <c:spPr>
                <a:solidFill>
                  <a:srgbClr val="FFFFFF"/>
                </a:solidFill>
                <a:ln w="25400">
                  <a:solidFill>
                    <a:srgbClr val="000000"/>
                  </a:solidFill>
                </a:ln>
              </c:spPr>
              <c:txPr>
                <a:bodyPr/>
                <a:lstStyle/>
                <a:p>
                  <a:pPr>
                    <a:defRPr b="1"/>
                  </a:pPr>
                  <a:endParaRPr lang="en-DK"/>
                </a:p>
              </c:txPr>
              <c:showLegendKey val="0"/>
              <c:showVal val="0"/>
              <c:showCatName val="1"/>
              <c:showSerName val="0"/>
              <c:showPercent val="0"/>
              <c:showBubbleSize val="0"/>
              <c:extLst>
                <c:ext xmlns:c16="http://schemas.microsoft.com/office/drawing/2014/chart" uri="{C3380CC4-5D6E-409C-BE32-E72D297353CC}">
                  <c16:uniqueId val="{00000005-A26B-49B9-ADFD-9722D6CE1EC9}"/>
                </c:ext>
              </c:extLst>
            </c:dLbl>
            <c:dLbl>
              <c:idx val="1"/>
              <c:numFmt formatCode="0.0%" sourceLinked="0"/>
              <c:spPr>
                <a:solidFill>
                  <a:srgbClr val="FFFFFF"/>
                </a:solidFill>
                <a:ln w="25400">
                  <a:solidFill>
                    <a:srgbClr val="008000"/>
                  </a:solidFill>
                </a:ln>
              </c:spPr>
              <c:txPr>
                <a:bodyPr wrap="square" lIns="38100" tIns="19050" rIns="38100" bIns="19050" anchor="ctr">
                  <a:spAutoFit/>
                </a:bodyPr>
                <a:lstStyle/>
                <a:p>
                  <a:pPr>
                    <a:defRPr b="1"/>
                  </a:pPr>
                  <a:endParaRPr lang="en-DK"/>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26B-49B9-ADFD-9722D6CE1EC9}"/>
                </c:ext>
              </c:extLst>
            </c:dLbl>
            <c:numFmt formatCode="0.0" sourceLinked="0"/>
            <c:spPr>
              <a:solidFill>
                <a:srgbClr val="FFFFFF"/>
              </a:solidFill>
              <a:ln w="25400">
                <a:noFill/>
              </a:ln>
            </c:spPr>
            <c:txPr>
              <a:bodyPr wrap="square" lIns="38100" tIns="19050" rIns="38100" bIns="19050" anchor="ctr">
                <a:spAutoFit/>
              </a:bodyPr>
              <a:lstStyle/>
              <a:p>
                <a:pPr>
                  <a:defRPr b="1"/>
                </a:pPr>
                <a:endParaRPr lang="en-DK"/>
              </a:p>
            </c:txPr>
            <c:showLegendKey val="0"/>
            <c:showVal val="0"/>
            <c:showCatName val="1"/>
            <c:showSerName val="0"/>
            <c:showPercent val="0"/>
            <c:showBubbleSize val="0"/>
            <c:showLeaderLines val="0"/>
            <c:extLst>
              <c:ext xmlns:c15="http://schemas.microsoft.com/office/drawing/2012/chart" uri="{CE6537A1-D6FC-4f65-9D91-7224C49458BB}">
                <c15:showLeaderLines val="1"/>
              </c:ext>
            </c:extLst>
          </c:dLbls>
          <c:xVal>
            <c:numRef>
              <c:f>CurveData!$M$2:$M$3</c:f>
              <c:numCache>
                <c:formatCode>General</c:formatCode>
                <c:ptCount val="2"/>
                <c:pt idx="0">
                  <c:v>556.78901045402722</c:v>
                </c:pt>
                <c:pt idx="1">
                  <c:v>556.78901045402722</c:v>
                </c:pt>
              </c:numCache>
            </c:numRef>
          </c:xVal>
          <c:yVal>
            <c:numRef>
              <c:f>CurveData!$N$2:$N$3</c:f>
              <c:numCache>
                <c:formatCode>0.00%</c:formatCode>
                <c:ptCount val="2"/>
                <c:pt idx="0">
                  <c:v>0</c:v>
                </c:pt>
                <c:pt idx="1">
                  <c:v>0.85</c:v>
                </c:pt>
              </c:numCache>
            </c:numRef>
          </c:yVal>
          <c:smooth val="1"/>
          <c:extLst>
            <c:ext xmlns:c16="http://schemas.microsoft.com/office/drawing/2014/chart" uri="{C3380CC4-5D6E-409C-BE32-E72D297353CC}">
              <c16:uniqueId val="{00000007-A26B-49B9-ADFD-9722D6CE1EC9}"/>
            </c:ext>
          </c:extLst>
        </c:ser>
        <c:ser>
          <c:idx val="3"/>
          <c:order val="5"/>
          <c:tx>
            <c:strRef>
              <c:f>Data!$G$183</c:f>
              <c:strCache>
                <c:ptCount val="1"/>
                <c:pt idx="0">
                  <c:v>P(95)</c:v>
                </c:pt>
              </c:strCache>
            </c:strRef>
          </c:tx>
          <c:spPr>
            <a:ln w="25400">
              <a:solidFill>
                <a:srgbClr val="FF0000"/>
              </a:solidFill>
              <a:prstDash val="dash"/>
            </a:ln>
          </c:spPr>
          <c:marker>
            <c:symbol val="none"/>
          </c:marker>
          <c:xVal>
            <c:numRef>
              <c:f>CurveData!$P$2:$P$3</c:f>
              <c:numCache>
                <c:formatCode>#,##0.00</c:formatCode>
                <c:ptCount val="2"/>
                <c:pt idx="0" formatCode="General">
                  <c:v>0</c:v>
                </c:pt>
                <c:pt idx="1">
                  <c:v>593.67152043756391</c:v>
                </c:pt>
              </c:numCache>
            </c:numRef>
          </c:xVal>
          <c:yVal>
            <c:numRef>
              <c:f>CurveData!$Q$2:$Q$3</c:f>
              <c:numCache>
                <c:formatCode>0.00%</c:formatCode>
                <c:ptCount val="2"/>
                <c:pt idx="0">
                  <c:v>0.95</c:v>
                </c:pt>
                <c:pt idx="1">
                  <c:v>0.95</c:v>
                </c:pt>
              </c:numCache>
            </c:numRef>
          </c:yVal>
          <c:smooth val="1"/>
          <c:extLst>
            <c:ext xmlns:c16="http://schemas.microsoft.com/office/drawing/2014/chart" uri="{C3380CC4-5D6E-409C-BE32-E72D297353CC}">
              <c16:uniqueId val="{00000008-A26B-49B9-ADFD-9722D6CE1EC9}"/>
            </c:ext>
          </c:extLst>
        </c:ser>
        <c:ser>
          <c:idx val="4"/>
          <c:order val="6"/>
          <c:tx>
            <c:strRef>
              <c:f>Data!$G$183</c:f>
              <c:strCache>
                <c:ptCount val="1"/>
                <c:pt idx="0">
                  <c:v>P(95)</c:v>
                </c:pt>
              </c:strCache>
            </c:strRef>
          </c:tx>
          <c:spPr>
            <a:ln w="25400">
              <a:solidFill>
                <a:srgbClr val="FF0000"/>
              </a:solidFill>
              <a:prstDash val="dash"/>
            </a:ln>
          </c:spPr>
          <c:marker>
            <c:symbol val="none"/>
          </c:marker>
          <c:dLbls>
            <c:dLbl>
              <c:idx val="0"/>
              <c:numFmt formatCode="#,##0.0" sourceLinked="0"/>
              <c:spPr>
                <a:solidFill>
                  <a:schemeClr val="bg1"/>
                </a:solidFill>
                <a:ln w="25400">
                  <a:solidFill>
                    <a:srgbClr val="FF0000"/>
                  </a:solidFill>
                </a:ln>
                <a:effectLst/>
              </c:spPr>
              <c:txPr>
                <a:bodyPr wrap="square" lIns="38100" tIns="19050" rIns="38100" bIns="19050" anchor="ctr">
                  <a:spAutoFit/>
                </a:bodyPr>
                <a:lstStyle/>
                <a:p>
                  <a:pPr>
                    <a:defRPr b="1"/>
                  </a:pPr>
                  <a:endParaRPr lang="en-DK"/>
                </a:p>
              </c:txP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26B-49B9-ADFD-9722D6CE1EC9}"/>
                </c:ext>
              </c:extLst>
            </c:dLbl>
            <c:dLbl>
              <c:idx val="1"/>
              <c:numFmt formatCode="0.0%" sourceLinked="0"/>
              <c:spPr>
                <a:solidFill>
                  <a:schemeClr val="bg1"/>
                </a:solidFill>
                <a:ln w="15875">
                  <a:solidFill>
                    <a:srgbClr val="FF0000"/>
                  </a:solidFill>
                </a:ln>
                <a:effectLst/>
              </c:spPr>
              <c:txPr>
                <a:bodyPr wrap="square" lIns="38100" tIns="19050" rIns="38100" bIns="19050" anchor="ctr">
                  <a:spAutoFit/>
                </a:bodyPr>
                <a:lstStyle/>
                <a:p>
                  <a:pPr>
                    <a:defRPr b="1"/>
                  </a:pPr>
                  <a:endParaRPr lang="en-DK"/>
                </a:p>
              </c:txPr>
              <c:showLegendKey val="0"/>
              <c:showVal val="1"/>
              <c:showCatName val="0"/>
              <c:showSerName val="0"/>
              <c:showPercent val="0"/>
              <c:showBubbleSize val="0"/>
              <c:extLst>
                <c:ext xmlns:c16="http://schemas.microsoft.com/office/drawing/2014/chart" uri="{C3380CC4-5D6E-409C-BE32-E72D297353CC}">
                  <c16:uniqueId val="{0000000A-A26B-49B9-ADFD-9722D6CE1EC9}"/>
                </c:ext>
              </c:extLst>
            </c:dLbl>
            <c:numFmt formatCode="0.0%" sourceLinked="0"/>
            <c:spPr>
              <a:noFill/>
              <a:ln>
                <a:noFill/>
              </a:ln>
              <a:effectLst/>
            </c:spPr>
            <c:txPr>
              <a:bodyPr wrap="square" lIns="38100" tIns="19050" rIns="38100" bIns="19050" anchor="ctr">
                <a:spAutoFit/>
              </a:bodyPr>
              <a:lstStyle/>
              <a:p>
                <a:pPr>
                  <a:defRPr b="1"/>
                </a:pPr>
                <a:endParaRPr lang="en-DK"/>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xVal>
            <c:numRef>
              <c:f>CurveData!$R$2:$R$3</c:f>
              <c:numCache>
                <c:formatCode>#,##0.00</c:formatCode>
                <c:ptCount val="2"/>
                <c:pt idx="0">
                  <c:v>593.67152043756391</c:v>
                </c:pt>
                <c:pt idx="1">
                  <c:v>593.67152043756391</c:v>
                </c:pt>
              </c:numCache>
            </c:numRef>
          </c:xVal>
          <c:yVal>
            <c:numRef>
              <c:f>CurveData!$S$2:$S$3</c:f>
              <c:numCache>
                <c:formatCode>0.00%</c:formatCode>
                <c:ptCount val="2"/>
                <c:pt idx="0">
                  <c:v>0</c:v>
                </c:pt>
                <c:pt idx="1">
                  <c:v>0.95</c:v>
                </c:pt>
              </c:numCache>
            </c:numRef>
          </c:yVal>
          <c:smooth val="1"/>
          <c:extLst>
            <c:ext xmlns:c16="http://schemas.microsoft.com/office/drawing/2014/chart" uri="{C3380CC4-5D6E-409C-BE32-E72D297353CC}">
              <c16:uniqueId val="{0000000B-A26B-49B9-ADFD-9722D6CE1EC9}"/>
            </c:ext>
          </c:extLst>
        </c:ser>
        <c:dLbls>
          <c:showLegendKey val="0"/>
          <c:showVal val="0"/>
          <c:showCatName val="0"/>
          <c:showSerName val="0"/>
          <c:showPercent val="0"/>
          <c:showBubbleSize val="0"/>
        </c:dLbls>
        <c:axId val="944558632"/>
        <c:axId val="944555888"/>
      </c:scatterChart>
      <c:valAx>
        <c:axId val="944558632"/>
        <c:scaling>
          <c:orientation val="minMax"/>
          <c:min val="200"/>
        </c:scaling>
        <c:delete val="0"/>
        <c:axPos val="b"/>
        <c:minorGridlines>
          <c:spPr>
            <a:ln w="3175">
              <a:solidFill>
                <a:srgbClr val="000000"/>
              </a:solidFill>
              <a:prstDash val="solid"/>
            </a:ln>
          </c:spPr>
        </c:minorGridlines>
        <c:title>
          <c:tx>
            <c:strRef>
              <c:f>Data!$E$25</c:f>
              <c:strCache>
                <c:ptCount val="1"/>
                <c:pt idx="0">
                  <c:v>Min.</c:v>
                </c:pt>
              </c:strCache>
            </c:strRef>
          </c:tx>
          <c:layout>
            <c:manualLayout>
              <c:xMode val="edge"/>
              <c:yMode val="edge"/>
              <c:x val="0.90607443807440002"/>
              <c:y val="0.85876617958904122"/>
            </c:manualLayout>
          </c:layout>
          <c:overlay val="0"/>
          <c:spPr>
            <a:solidFill>
              <a:schemeClr val="bg1"/>
            </a:solidFill>
            <a:ln w="25400">
              <a:noFill/>
            </a:ln>
          </c:spPr>
          <c:txPr>
            <a:bodyPr/>
            <a:lstStyle/>
            <a:p>
              <a:pPr>
                <a:defRPr b="1" i="0" baseline="0"/>
              </a:pPr>
              <a:endParaRPr lang="en-DK"/>
            </a:p>
          </c:txPr>
        </c:title>
        <c:numFmt formatCode="General" sourceLinked="1"/>
        <c:majorTickMark val="out"/>
        <c:minorTickMark val="none"/>
        <c:tickLblPos val="nextTo"/>
        <c:spPr>
          <a:ln w="12700">
            <a:solidFill>
              <a:srgbClr val="000000"/>
            </a:solidFill>
            <a:prstDash val="solid"/>
          </a:ln>
        </c:spPr>
        <c:txPr>
          <a:bodyPr rot="0" vert="horz"/>
          <a:lstStyle/>
          <a:p>
            <a:pPr>
              <a:defRPr b="1" i="0" baseline="0"/>
            </a:pPr>
            <a:endParaRPr lang="en-DK"/>
          </a:p>
        </c:txPr>
        <c:crossAx val="944555888"/>
        <c:crosses val="autoZero"/>
        <c:crossBetween val="midCat"/>
      </c:valAx>
      <c:valAx>
        <c:axId val="944555888"/>
        <c:scaling>
          <c:orientation val="minMax"/>
          <c:max val="1"/>
        </c:scaling>
        <c:delete val="0"/>
        <c:axPos val="l"/>
        <c:majorGridlines>
          <c:spPr>
            <a:ln w="3175">
              <a:solidFill>
                <a:srgbClr val="000000"/>
              </a:solidFill>
              <a:prstDash val="solid"/>
            </a:ln>
          </c:spPr>
        </c:majorGridlines>
        <c:minorGridlines>
          <c:spPr>
            <a:ln w="3175">
              <a:solidFill>
                <a:srgbClr val="000000"/>
              </a:solidFill>
              <a:prstDash val="solid"/>
            </a:ln>
          </c:spPr>
        </c:minorGridlines>
        <c:title>
          <c:tx>
            <c:rich>
              <a:bodyPr/>
              <a:lstStyle/>
              <a:p>
                <a:pPr>
                  <a:defRPr sz="1600" b="1" i="0" baseline="0"/>
                </a:pPr>
                <a:r>
                  <a:rPr lang="da-DK" sz="1800" b="1" i="0" baseline="0">
                    <a:effectLst/>
                  </a:rPr>
                  <a:t>Accumuleret Probability</a:t>
                </a:r>
                <a:endParaRPr lang="en-GB" sz="1600">
                  <a:effectLst/>
                </a:endParaRPr>
              </a:p>
            </c:rich>
          </c:tx>
          <c:layout>
            <c:manualLayout>
              <c:xMode val="edge"/>
              <c:yMode val="edge"/>
              <c:x val="2.2462073914080376E-2"/>
              <c:y val="0.30896020988404488"/>
            </c:manualLayout>
          </c:layout>
          <c:overlay val="0"/>
          <c:spPr>
            <a:noFill/>
            <a:ln w="25400">
              <a:noFill/>
            </a:ln>
          </c:spPr>
        </c:title>
        <c:numFmt formatCode="0%" sourceLinked="0"/>
        <c:majorTickMark val="out"/>
        <c:minorTickMark val="none"/>
        <c:tickLblPos val="nextTo"/>
        <c:spPr>
          <a:ln w="19050">
            <a:solidFill>
              <a:srgbClr val="000000"/>
            </a:solidFill>
            <a:prstDash val="solid"/>
          </a:ln>
        </c:spPr>
        <c:txPr>
          <a:bodyPr rot="0" vert="horz"/>
          <a:lstStyle/>
          <a:p>
            <a:pPr>
              <a:defRPr b="1" i="0" baseline="0"/>
            </a:pPr>
            <a:endParaRPr lang="en-DK"/>
          </a:p>
        </c:txPr>
        <c:crossAx val="944558632"/>
        <c:crosses val="autoZero"/>
        <c:crossBetween val="midCat"/>
        <c:majorUnit val="0.1"/>
        <c:minorUnit val="0.05"/>
      </c:valAx>
      <c:spPr>
        <a:noFill/>
        <a:ln w="3175">
          <a:solidFill>
            <a:srgbClr val="000000"/>
          </a:solidFill>
          <a:prstDash val="solid"/>
        </a:ln>
      </c:spPr>
    </c:plotArea>
    <c:plotVisOnly val="1"/>
    <c:dispBlanksAs val="gap"/>
    <c:showDLblsOverMax val="0"/>
  </c:chart>
  <c:spPr>
    <a:noFill/>
    <a:ln w="9525">
      <a:solidFill>
        <a:schemeClr val="accent1"/>
      </a:solidFill>
    </a:ln>
  </c:spPr>
  <c:txPr>
    <a:bodyPr/>
    <a:lstStyle/>
    <a:p>
      <a:pPr>
        <a:defRPr sz="1200" b="0" i="0" u="none" strike="noStrike" baseline="0">
          <a:solidFill>
            <a:schemeClr val="tx1"/>
          </a:solidFill>
          <a:latin typeface="Garamond"/>
          <a:ea typeface="Garamond"/>
          <a:cs typeface="Garamond"/>
        </a:defRPr>
      </a:pPr>
      <a:endParaRPr lang="en-DK"/>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baseline="0">
                <a:solidFill>
                  <a:schemeClr val="tx1"/>
                </a:solidFill>
              </a:defRPr>
            </a:pPr>
            <a:r>
              <a:rPr lang="da-DK" sz="1600" baseline="0">
                <a:solidFill>
                  <a:schemeClr val="tx1"/>
                </a:solidFill>
              </a:rPr>
              <a:t>Top10 Budget Elements</a:t>
            </a:r>
          </a:p>
        </c:rich>
      </c:tx>
      <c:layout>
        <c:manualLayout>
          <c:xMode val="edge"/>
          <c:yMode val="edge"/>
          <c:x val="0.68008230801765523"/>
          <c:y val="0.20966120298408444"/>
        </c:manualLayout>
      </c:layout>
      <c:overlay val="0"/>
    </c:title>
    <c:autoTitleDeleted val="0"/>
    <c:plotArea>
      <c:layout>
        <c:manualLayout>
          <c:layoutTarget val="inner"/>
          <c:xMode val="edge"/>
          <c:yMode val="edge"/>
          <c:x val="0.12809356098897623"/>
          <c:y val="0.20136081172146159"/>
          <c:w val="0.44014036269075424"/>
          <c:h val="0.71889596211779228"/>
        </c:manualLayout>
      </c:layout>
      <c:pieChart>
        <c:varyColors val="1"/>
        <c:ser>
          <c:idx val="0"/>
          <c:order val="0"/>
          <c:explosion val="9"/>
          <c:dPt>
            <c:idx val="0"/>
            <c:bubble3D val="0"/>
            <c:explosion val="11"/>
            <c:extLst>
              <c:ext xmlns:c16="http://schemas.microsoft.com/office/drawing/2014/chart" uri="{C3380CC4-5D6E-409C-BE32-E72D297353CC}">
                <c16:uniqueId val="{00000000-D6D8-460E-86B4-30C7FB3FFE9B}"/>
              </c:ext>
            </c:extLst>
          </c:dPt>
          <c:dPt>
            <c:idx val="1"/>
            <c:bubble3D val="0"/>
            <c:extLst>
              <c:ext xmlns:c16="http://schemas.microsoft.com/office/drawing/2014/chart" uri="{C3380CC4-5D6E-409C-BE32-E72D297353CC}">
                <c16:uniqueId val="{00000001-D6D8-460E-86B4-30C7FB3FFE9B}"/>
              </c:ext>
            </c:extLst>
          </c:dPt>
          <c:dPt>
            <c:idx val="2"/>
            <c:bubble3D val="0"/>
            <c:extLst>
              <c:ext xmlns:c16="http://schemas.microsoft.com/office/drawing/2014/chart" uri="{C3380CC4-5D6E-409C-BE32-E72D297353CC}">
                <c16:uniqueId val="{00000002-D6D8-460E-86B4-30C7FB3FFE9B}"/>
              </c:ext>
            </c:extLst>
          </c:dPt>
          <c:dPt>
            <c:idx val="3"/>
            <c:bubble3D val="0"/>
            <c:extLst>
              <c:ext xmlns:c16="http://schemas.microsoft.com/office/drawing/2014/chart" uri="{C3380CC4-5D6E-409C-BE32-E72D297353CC}">
                <c16:uniqueId val="{00000003-D6D8-460E-86B4-30C7FB3FFE9B}"/>
              </c:ext>
            </c:extLst>
          </c:dPt>
          <c:dPt>
            <c:idx val="4"/>
            <c:bubble3D val="0"/>
            <c:extLst>
              <c:ext xmlns:c16="http://schemas.microsoft.com/office/drawing/2014/chart" uri="{C3380CC4-5D6E-409C-BE32-E72D297353CC}">
                <c16:uniqueId val="{00000004-D6D8-460E-86B4-30C7FB3FFE9B}"/>
              </c:ext>
            </c:extLst>
          </c:dPt>
          <c:dPt>
            <c:idx val="5"/>
            <c:bubble3D val="0"/>
            <c:extLst>
              <c:ext xmlns:c16="http://schemas.microsoft.com/office/drawing/2014/chart" uri="{C3380CC4-5D6E-409C-BE32-E72D297353CC}">
                <c16:uniqueId val="{00000005-D6D8-460E-86B4-30C7FB3FFE9B}"/>
              </c:ext>
            </c:extLst>
          </c:dPt>
          <c:dLbls>
            <c:numFmt formatCode="#,##0.0" sourceLinked="0"/>
            <c:spPr>
              <a:noFill/>
              <a:ln>
                <a:noFill/>
              </a:ln>
              <a:effectLst/>
            </c:spPr>
            <c:txPr>
              <a:bodyPr/>
              <a:lstStyle/>
              <a:p>
                <a:pPr>
                  <a:defRPr baseline="0">
                    <a:solidFill>
                      <a:schemeClr val="tx1"/>
                    </a:solidFill>
                  </a:defRPr>
                </a:pPr>
                <a:endParaRPr lang="en-DK"/>
              </a:p>
            </c:txPr>
            <c:showLegendKey val="0"/>
            <c:showVal val="1"/>
            <c:showCatName val="1"/>
            <c:showSerName val="0"/>
            <c:showPercent val="0"/>
            <c:showBubbleSize val="0"/>
            <c:showLeaderLines val="1"/>
            <c:extLst>
              <c:ext xmlns:c15="http://schemas.microsoft.com/office/drawing/2012/chart" uri="{CE6537A1-D6FC-4f65-9D91-7224C49458BB}"/>
            </c:extLst>
          </c:dLbls>
          <c:cat>
            <c:strRef>
              <c:f>Data!$AS$84:$AS$93</c:f>
              <c:strCache>
                <c:ptCount val="10"/>
                <c:pt idx="0">
                  <c:v>#1: Opg.7: Raw house</c:v>
                </c:pt>
                <c:pt idx="1">
                  <c:v>#2: Opg.5: Accommodation</c:v>
                </c:pt>
                <c:pt idx="2">
                  <c:v>#3: Opg.12: Other</c:v>
                </c:pt>
                <c:pt idx="3">
                  <c:v>#4: Opg.4: Installations</c:v>
                </c:pt>
                <c:pt idx="4">
                  <c:v>#5: Opg.8: Building site</c:v>
                </c:pt>
                <c:pt idx="5">
                  <c:v>#6: G.U.4: Req. &amp; quality control</c:v>
                </c:pt>
                <c:pt idx="6">
                  <c:v>#7: Opg.4: Land purchase</c:v>
                </c:pt>
                <c:pt idx="7">
                  <c:v>#8: G.U.2: Geographic index</c:v>
                </c:pt>
                <c:pt idx="8">
                  <c:v>#9: G.U.6: External conditions</c:v>
                </c:pt>
                <c:pt idx="9">
                  <c:v>#10: Opg.9: Demolition</c:v>
                </c:pt>
              </c:strCache>
            </c:strRef>
          </c:cat>
          <c:val>
            <c:numRef>
              <c:f>Data!$AQ$84:$AQ$93</c:f>
              <c:numCache>
                <c:formatCode>0.0</c:formatCode>
                <c:ptCount val="10"/>
                <c:pt idx="0">
                  <c:v>118.35535618089109</c:v>
                </c:pt>
                <c:pt idx="1">
                  <c:v>55.232499551082505</c:v>
                </c:pt>
                <c:pt idx="2">
                  <c:v>51.85091794591419</c:v>
                </c:pt>
                <c:pt idx="3">
                  <c:v>45.087754735577555</c:v>
                </c:pt>
                <c:pt idx="4">
                  <c:v>37.197397656851486</c:v>
                </c:pt>
                <c:pt idx="5">
                  <c:v>21.41668349939934</c:v>
                </c:pt>
                <c:pt idx="6">
                  <c:v>20.2894896310099</c:v>
                </c:pt>
                <c:pt idx="7">
                  <c:v>19.162295762620463</c:v>
                </c:pt>
                <c:pt idx="8">
                  <c:v>18.035101894231023</c:v>
                </c:pt>
                <c:pt idx="9">
                  <c:v>15.780714157452145</c:v>
                </c:pt>
              </c:numCache>
            </c:numRef>
          </c:val>
          <c:extLst>
            <c:ext xmlns:c15="http://schemas.microsoft.com/office/drawing/2012/chart" uri="{02D57815-91ED-43cb-92C2-25804820EDAC}">
              <c15:filteredSeriesTitle>
                <c15:tx>
                  <c:strRef>
                    <c:extLst>
                      <c:ext uri="{02D57815-91ED-43cb-92C2-25804820EDAC}">
                        <c15:formulaRef>
                          <c15:sqref>Data!#REF!</c15:sqref>
                        </c15:formulaRef>
                      </c:ext>
                    </c:extLst>
                    <c:strCache>
                      <c:ptCount val="1"/>
                      <c:pt idx="0">
                        <c:v>#REF!</c:v>
                      </c:pt>
                    </c:strCache>
                  </c:strRef>
                </c15:tx>
              </c15:filteredSeriesTitle>
            </c:ext>
            <c:ext xmlns:c16="http://schemas.microsoft.com/office/drawing/2014/chart" uri="{C3380CC4-5D6E-409C-BE32-E72D297353CC}">
              <c16:uniqueId val="{00000006-D6D8-460E-86B4-30C7FB3FFE9B}"/>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6641271077985742"/>
          <c:y val="0.27194926942126085"/>
          <c:w val="0.30976006000264272"/>
          <c:h val="0.54114362435987062"/>
        </c:manualLayout>
      </c:layout>
      <c:overlay val="0"/>
      <c:txPr>
        <a:bodyPr anchor="ctr" anchorCtr="0"/>
        <a:lstStyle/>
        <a:p>
          <a:pPr>
            <a:defRPr baseline="0">
              <a:solidFill>
                <a:schemeClr val="tx1"/>
              </a:solidFill>
            </a:defRPr>
          </a:pPr>
          <a:endParaRPr lang="en-DK"/>
        </a:p>
      </c:txPr>
    </c:legend>
    <c:plotVisOnly val="0"/>
    <c:dispBlanksAs val="zero"/>
    <c:showDLblsOverMax val="0"/>
  </c:chart>
  <c:spPr>
    <a:solidFill>
      <a:schemeClr val="accent1">
        <a:lumMod val="60000"/>
        <a:lumOff val="40000"/>
      </a:schemeClr>
    </a:solidFill>
    <a:ln>
      <a:solidFill>
        <a:schemeClr val="accent1"/>
      </a:solidFill>
    </a:ln>
  </c:spPr>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baseline="0">
                <a:solidFill>
                  <a:schemeClr val="tx1"/>
                </a:solidFill>
              </a:defRPr>
            </a:pPr>
            <a:r>
              <a:rPr lang="da-DK" sz="1600" baseline="0">
                <a:solidFill>
                  <a:schemeClr val="tx1"/>
                </a:solidFill>
              </a:rPr>
              <a:t>Top10 Uncertainties</a:t>
            </a:r>
          </a:p>
        </c:rich>
      </c:tx>
      <c:layout>
        <c:manualLayout>
          <c:xMode val="edge"/>
          <c:yMode val="edge"/>
          <c:x val="0.64974649464671375"/>
          <c:y val="0.27497718713217739"/>
        </c:manualLayout>
      </c:layout>
      <c:overlay val="0"/>
    </c:title>
    <c:autoTitleDeleted val="0"/>
    <c:plotArea>
      <c:layout>
        <c:manualLayout>
          <c:layoutTarget val="inner"/>
          <c:xMode val="edge"/>
          <c:yMode val="edge"/>
          <c:x val="0.15151374788835936"/>
          <c:y val="0.20361240232839289"/>
          <c:w val="0.44014036269075424"/>
          <c:h val="0.71889596211779228"/>
        </c:manualLayout>
      </c:layout>
      <c:pieChart>
        <c:varyColors val="1"/>
        <c:ser>
          <c:idx val="0"/>
          <c:order val="0"/>
          <c:explosion val="9"/>
          <c:dPt>
            <c:idx val="0"/>
            <c:bubble3D val="0"/>
            <c:explosion val="11"/>
            <c:extLst>
              <c:ext xmlns:c16="http://schemas.microsoft.com/office/drawing/2014/chart" uri="{C3380CC4-5D6E-409C-BE32-E72D297353CC}">
                <c16:uniqueId val="{00000000-2378-4BF0-97ED-CBDCB1F10669}"/>
              </c:ext>
            </c:extLst>
          </c:dPt>
          <c:dPt>
            <c:idx val="1"/>
            <c:bubble3D val="0"/>
            <c:explosion val="8"/>
            <c:extLst>
              <c:ext xmlns:c16="http://schemas.microsoft.com/office/drawing/2014/chart" uri="{C3380CC4-5D6E-409C-BE32-E72D297353CC}">
                <c16:uniqueId val="{00000001-2378-4BF0-97ED-CBDCB1F10669}"/>
              </c:ext>
            </c:extLst>
          </c:dPt>
          <c:dPt>
            <c:idx val="2"/>
            <c:bubble3D val="0"/>
            <c:extLst>
              <c:ext xmlns:c16="http://schemas.microsoft.com/office/drawing/2014/chart" uri="{C3380CC4-5D6E-409C-BE32-E72D297353CC}">
                <c16:uniqueId val="{00000002-2378-4BF0-97ED-CBDCB1F10669}"/>
              </c:ext>
            </c:extLst>
          </c:dPt>
          <c:dPt>
            <c:idx val="3"/>
            <c:bubble3D val="0"/>
            <c:extLst>
              <c:ext xmlns:c16="http://schemas.microsoft.com/office/drawing/2014/chart" uri="{C3380CC4-5D6E-409C-BE32-E72D297353CC}">
                <c16:uniqueId val="{00000003-2378-4BF0-97ED-CBDCB1F10669}"/>
              </c:ext>
            </c:extLst>
          </c:dPt>
          <c:dPt>
            <c:idx val="4"/>
            <c:bubble3D val="0"/>
            <c:extLst>
              <c:ext xmlns:c16="http://schemas.microsoft.com/office/drawing/2014/chart" uri="{C3380CC4-5D6E-409C-BE32-E72D297353CC}">
                <c16:uniqueId val="{00000004-2378-4BF0-97ED-CBDCB1F10669}"/>
              </c:ext>
            </c:extLst>
          </c:dPt>
          <c:dPt>
            <c:idx val="5"/>
            <c:bubble3D val="0"/>
            <c:extLst>
              <c:ext xmlns:c16="http://schemas.microsoft.com/office/drawing/2014/chart" uri="{C3380CC4-5D6E-409C-BE32-E72D297353CC}">
                <c16:uniqueId val="{00000005-2378-4BF0-97ED-CBDCB1F10669}"/>
              </c:ext>
            </c:extLst>
          </c:dPt>
          <c:dLbls>
            <c:numFmt formatCode="0.0%" sourceLinked="0"/>
            <c:spPr>
              <a:noFill/>
              <a:ln>
                <a:noFill/>
              </a:ln>
              <a:effectLst/>
            </c:spPr>
            <c:txPr>
              <a:bodyPr/>
              <a:lstStyle/>
              <a:p>
                <a:pPr>
                  <a:defRPr baseline="0">
                    <a:solidFill>
                      <a:schemeClr val="tx1"/>
                    </a:solidFill>
                  </a:defRPr>
                </a:pPr>
                <a:endParaRPr lang="en-DK"/>
              </a:p>
            </c:txPr>
            <c:showLegendKey val="0"/>
            <c:showVal val="0"/>
            <c:showCatName val="1"/>
            <c:showSerName val="0"/>
            <c:showPercent val="0"/>
            <c:showBubbleSize val="0"/>
            <c:showLeaderLines val="1"/>
            <c:extLst>
              <c:ext xmlns:c15="http://schemas.microsoft.com/office/drawing/2012/chart" uri="{CE6537A1-D6FC-4f65-9D91-7224C49458BB}"/>
            </c:extLst>
          </c:dLbls>
          <c:cat>
            <c:strRef>
              <c:f>Data!$AP$11:$AP$20</c:f>
              <c:strCache>
                <c:ptCount val="10"/>
                <c:pt idx="0">
                  <c:v>#1: GU(C): Compet. &amp; Experience level, P= 21,3%</c:v>
                </c:pt>
                <c:pt idx="1">
                  <c:v>#2: GU(A): Contracting strategy, P= 13,2%</c:v>
                </c:pt>
                <c:pt idx="2">
                  <c:v>#3: GU(H): Req. &amp; quality control, P= 10,9%</c:v>
                </c:pt>
                <c:pt idx="3">
                  <c:v>#4: GU(F): External conditions, P= 10,9%</c:v>
                </c:pt>
                <c:pt idx="4">
                  <c:v>#5: Opg15: Accommodation, P= 8,8%</c:v>
                </c:pt>
                <c:pt idx="5">
                  <c:v>#6: Opg13: Raw house, P= 6,1%</c:v>
                </c:pt>
                <c:pt idx="6">
                  <c:v>#7: GU(I): Political issues, P= 6,1%</c:v>
                </c:pt>
                <c:pt idx="7">
                  <c:v>#8: GU(B): Interfaces, P= 6,1%</c:v>
                </c:pt>
                <c:pt idx="8">
                  <c:v>#9: Opg40: Other, P= 3,3%</c:v>
                </c:pt>
                <c:pt idx="9">
                  <c:v>#10: Opg16: Installations, P= 3,3%</c:v>
                </c:pt>
              </c:strCache>
            </c:strRef>
          </c:cat>
          <c:val>
            <c:numRef>
              <c:f>Data!$AJ$11:$AJ$20</c:f>
              <c:numCache>
                <c:formatCode>0.00%</c:formatCode>
                <c:ptCount val="10"/>
                <c:pt idx="0">
                  <c:v>0.21334497976843228</c:v>
                </c:pt>
                <c:pt idx="1">
                  <c:v>0.13170787016316482</c:v>
                </c:pt>
                <c:pt idx="2">
                  <c:v>0.10884947947368993</c:v>
                </c:pt>
                <c:pt idx="3">
                  <c:v>0.10884947947368993</c:v>
                </c:pt>
                <c:pt idx="4">
                  <c:v>8.8168078373688855E-2</c:v>
                </c:pt>
                <c:pt idx="5">
                  <c:v>6.1227832203950588E-2</c:v>
                </c:pt>
                <c:pt idx="6">
                  <c:v>6.1227832203950588E-2</c:v>
                </c:pt>
                <c:pt idx="7">
                  <c:v>6.1227832203950588E-2</c:v>
                </c:pt>
                <c:pt idx="8">
                  <c:v>3.2926967540791205E-2</c:v>
                </c:pt>
                <c:pt idx="9">
                  <c:v>3.2926967540791205E-2</c:v>
                </c:pt>
              </c:numCache>
            </c:numRef>
          </c:val>
          <c:extLst>
            <c:ext xmlns:c15="http://schemas.microsoft.com/office/drawing/2012/chart" uri="{02D57815-91ED-43cb-92C2-25804820EDAC}">
              <c15:filteredSeriesTitle>
                <c15:tx>
                  <c:strRef>
                    <c:extLst>
                      <c:ext uri="{02D57815-91ED-43cb-92C2-25804820EDAC}">
                        <c15:formulaRef>
                          <c15:sqref>Data!#REF!</c15:sqref>
                        </c15:formulaRef>
                      </c:ext>
                    </c:extLst>
                    <c:strCache>
                      <c:ptCount val="1"/>
                      <c:pt idx="0">
                        <c:v>#REF!</c:v>
                      </c:pt>
                    </c:strCache>
                  </c:strRef>
                </c15:tx>
              </c15:filteredSeriesTitle>
            </c:ext>
            <c:ext xmlns:c16="http://schemas.microsoft.com/office/drawing/2014/chart" uri="{C3380CC4-5D6E-409C-BE32-E72D297353CC}">
              <c16:uniqueId val="{00000006-2378-4BF0-97ED-CBDCB1F10669}"/>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2364465024389648"/>
          <c:y val="0.33274218737949773"/>
          <c:w val="0.34426092811050629"/>
          <c:h val="0.54114362435987062"/>
        </c:manualLayout>
      </c:layout>
      <c:overlay val="0"/>
      <c:txPr>
        <a:bodyPr/>
        <a:lstStyle/>
        <a:p>
          <a:pPr>
            <a:defRPr baseline="0">
              <a:solidFill>
                <a:schemeClr val="tx1"/>
              </a:solidFill>
            </a:defRPr>
          </a:pPr>
          <a:endParaRPr lang="en-DK"/>
        </a:p>
      </c:txPr>
    </c:legend>
    <c:plotVisOnly val="0"/>
    <c:dispBlanksAs val="zero"/>
    <c:showDLblsOverMax val="0"/>
  </c:chart>
  <c:spPr>
    <a:solidFill>
      <a:srgbClr val="FF0000">
        <a:alpha val="32000"/>
      </a:srgbClr>
    </a:solidFill>
    <a:ln>
      <a:solidFill>
        <a:schemeClr val="accent1"/>
      </a:solidFill>
    </a:ln>
  </c:spPr>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tabColor rgb="FFFFC000"/>
  </sheetPr>
  <sheetViews>
    <sheetView zoomScale="90" workbookViewId="0"/>
  </sheetViews>
  <pageMargins left="0.7" right="0.7" top="0.75" bottom="0.75" header="0.3" footer="0.3"/>
  <pageSetup paperSize="9"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codeName="Chart8">
    <tabColor rgb="FF66FFFF"/>
  </sheetPr>
  <sheetViews>
    <sheetView zoomScale="90" workbookViewId="0"/>
  </sheetViews>
  <pageMargins left="0.55118110236220474" right="0.51181102362204722" top="0.35433070866141736" bottom="0.51181102362204722" header="0" footer="0.19685039370078741"/>
  <pageSetup paperSize="9" orientation="landscape" horizontalDpi="4294967293" r:id="rId1"/>
  <headerFooter alignWithMargins="0">
    <oddHeader>&amp;LRisk Assessment&amp;CProject Management&amp;RCopyFree</oddHeader>
    <oddFooter>&amp;LDate: &amp;D
File: &amp;F&amp;C&amp;A&amp;RSide &amp;P/&amp;N</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codeName="Chart7">
    <tabColor rgb="FF0000FF"/>
  </sheetPr>
  <sheetViews>
    <sheetView zoomScale="90" workbookViewId="0"/>
  </sheetViews>
  <pageMargins left="0.25" right="0.25" top="0.75" bottom="0.75" header="0.3" footer="0.3"/>
  <pageSetup paperSize="9" orientation="landscape" r:id="rId1"/>
  <headerFooter alignWithMargins="0">
    <oddHeader>&amp;LRisk Assessment&amp;CProject Management&amp;RCopyFree</oddHeader>
    <oddFooter>&amp;LDate: &amp;D
File: &amp;F&amp;C&amp;A&amp;RPage &amp;P/&amp;N</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codeName="Chart3">
    <tabColor rgb="FFFF7C80"/>
  </sheetPr>
  <sheetViews>
    <sheetView zoomScale="90" workbookViewId="0"/>
  </sheetViews>
  <pageMargins left="0.25" right="0.25" top="0.75" bottom="0.75" header="0.3" footer="0.3"/>
  <pageSetup paperSize="9" orientation="landscape" r:id="rId1"/>
  <headerFooter alignWithMargins="0">
    <oddHeader>&amp;LRisk Assessment&amp;CProject Management&amp;RCopyFree</oddHeader>
    <oddFooter>&amp;LDate: &amp;D
File: &amp;F&amp;C&amp;A&amp;RPage &amp;P/&amp;N</oddFooter>
  </headerFooter>
  <drawing r:id="rId2"/>
</chartsheet>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3.jpeg"/><Relationship Id="rId7" Type="http://schemas.openxmlformats.org/officeDocument/2006/relationships/hyperlink" Target="https://www.youtube.com/@Risk-og-EBIT-Styring/videos" TargetMode="External"/><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hyperlink" Target="https://www.youtube.com/@Risk-og-EBIT-Styring/videos" TargetMode="External"/><Relationship Id="rId2" Type="http://schemas.openxmlformats.org/officeDocument/2006/relationships/image" Target="../media/image9.png"/><Relationship Id="rId1" Type="http://schemas.openxmlformats.org/officeDocument/2006/relationships/chart" Target="../charts/chart1.xml"/><Relationship Id="rId4"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12.wmf"/><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5.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1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79</xdr:row>
      <xdr:rowOff>190500</xdr:rowOff>
    </xdr:from>
    <xdr:to>
      <xdr:col>8</xdr:col>
      <xdr:colOff>274320</xdr:colOff>
      <xdr:row>86</xdr:row>
      <xdr:rowOff>0</xdr:rowOff>
    </xdr:to>
    <xdr:sp macro="" textlink="">
      <xdr:nvSpPr>
        <xdr:cNvPr id="2" name="Rectangle 3">
          <a:extLst>
            <a:ext uri="{FF2B5EF4-FFF2-40B4-BE49-F238E27FC236}">
              <a16:creationId xmlns:a16="http://schemas.microsoft.com/office/drawing/2014/main" id="{D4F4C9DB-217A-47B8-8874-5BFABE02A0F8}"/>
            </a:ext>
          </a:extLst>
        </xdr:cNvPr>
        <xdr:cNvSpPr>
          <a:spLocks noChangeArrowheads="1"/>
        </xdr:cNvSpPr>
      </xdr:nvSpPr>
      <xdr:spPr bwMode="auto">
        <a:xfrm>
          <a:off x="152400" y="12241530"/>
          <a:ext cx="9364980" cy="1005840"/>
        </a:xfrm>
        <a:prstGeom prst="rect">
          <a:avLst/>
        </a:prstGeom>
        <a:solidFill>
          <a:schemeClr val="accent3">
            <a:lumMod val="60000"/>
            <a:lumOff val="4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l" rtl="0">
            <a:defRPr sz="1000"/>
          </a:pPr>
          <a:r>
            <a:rPr lang="en-GB" sz="1400" b="1" i="0" u="none" strike="noStrike" baseline="0">
              <a:solidFill>
                <a:srgbClr val="000000"/>
              </a:solidFill>
              <a:latin typeface="Garamond"/>
            </a:rPr>
            <a:t>Disclaimer:</a:t>
          </a:r>
        </a:p>
        <a:p>
          <a:pPr algn="l" rtl="0">
            <a:defRPr sz="1000"/>
          </a:pPr>
          <a:r>
            <a:rPr lang="en-GB" sz="1400" b="0" i="1" u="none" strike="noStrike" baseline="0">
              <a:solidFill>
                <a:srgbClr val="000000"/>
              </a:solidFill>
              <a:latin typeface="Garamond"/>
            </a:rPr>
            <a:t>The use of this tool is under own risk and the Author can under no circumstances being held responsible for any errors in this tool neither misuse of this tool, what so ever.</a:t>
          </a:r>
        </a:p>
        <a:p>
          <a:pPr algn="l" rtl="0">
            <a:defRPr sz="1000"/>
          </a:pPr>
          <a:r>
            <a:rPr lang="en-GB" sz="1400" b="0" i="1" u="none" strike="noStrike" baseline="0">
              <a:solidFill>
                <a:srgbClr val="000000"/>
              </a:solidFill>
              <a:latin typeface="Garamond"/>
            </a:rPr>
            <a:t>Always use at least one other simple model or thumbs of rules to check the results.</a:t>
          </a:r>
        </a:p>
      </xdr:txBody>
    </xdr:sp>
    <xdr:clientData/>
  </xdr:twoCellAnchor>
  <xdr:twoCellAnchor editAs="oneCell">
    <xdr:from>
      <xdr:col>11</xdr:col>
      <xdr:colOff>585075</xdr:colOff>
      <xdr:row>13</xdr:row>
      <xdr:rowOff>101600</xdr:rowOff>
    </xdr:from>
    <xdr:to>
      <xdr:col>15</xdr:col>
      <xdr:colOff>123051</xdr:colOff>
      <xdr:row>40</xdr:row>
      <xdr:rowOff>101599</xdr:rowOff>
    </xdr:to>
    <xdr:pic>
      <xdr:nvPicPr>
        <xdr:cNvPr id="3" name="Picture 2" descr="A book cover with text&#10;&#10;Description automatically generated">
          <a:extLst>
            <a:ext uri="{FF2B5EF4-FFF2-40B4-BE49-F238E27FC236}">
              <a16:creationId xmlns:a16="http://schemas.microsoft.com/office/drawing/2014/main" id="{3F00AD78-2C3B-49E5-B43A-209D566A8D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46115" y="2860040"/>
          <a:ext cx="1976376" cy="2768599"/>
        </a:xfrm>
        <a:prstGeom prst="rect">
          <a:avLst/>
        </a:prstGeom>
      </xdr:spPr>
    </xdr:pic>
    <xdr:clientData/>
  </xdr:twoCellAnchor>
  <xdr:twoCellAnchor>
    <xdr:from>
      <xdr:col>0</xdr:col>
      <xdr:colOff>81280</xdr:colOff>
      <xdr:row>2</xdr:row>
      <xdr:rowOff>76200</xdr:rowOff>
    </xdr:from>
    <xdr:to>
      <xdr:col>8</xdr:col>
      <xdr:colOff>71120</xdr:colOff>
      <xdr:row>11</xdr:row>
      <xdr:rowOff>0</xdr:rowOff>
    </xdr:to>
    <xdr:sp macro="" textlink="">
      <xdr:nvSpPr>
        <xdr:cNvPr id="4" name="Rectangle 3">
          <a:extLst>
            <a:ext uri="{FF2B5EF4-FFF2-40B4-BE49-F238E27FC236}">
              <a16:creationId xmlns:a16="http://schemas.microsoft.com/office/drawing/2014/main" id="{F2D7AAAC-5EB2-4041-9E7E-B702C838864D}"/>
            </a:ext>
          </a:extLst>
        </xdr:cNvPr>
        <xdr:cNvSpPr/>
      </xdr:nvSpPr>
      <xdr:spPr>
        <a:xfrm>
          <a:off x="81280" y="582930"/>
          <a:ext cx="9232900" cy="170688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400" b="1" i="1">
              <a:solidFill>
                <a:schemeClr val="tx1"/>
              </a:solidFill>
            </a:rPr>
            <a:t>The Successive Principle </a:t>
          </a:r>
          <a:r>
            <a:rPr lang="da-DK" sz="1400">
              <a:solidFill>
                <a:schemeClr val="tx1"/>
              </a:solidFill>
            </a:rPr>
            <a:t>is one of the </a:t>
          </a:r>
          <a:r>
            <a:rPr lang="da-DK" sz="1400" b="1">
              <a:solidFill>
                <a:schemeClr val="tx1"/>
              </a:solidFill>
            </a:rPr>
            <a:t>most</a:t>
          </a:r>
          <a:r>
            <a:rPr lang="da-DK" sz="1400" b="1" baseline="0">
              <a:solidFill>
                <a:schemeClr val="tx1"/>
              </a:solidFill>
            </a:rPr>
            <a:t> powerful and efficient estimations methods </a:t>
          </a:r>
          <a:r>
            <a:rPr lang="da-DK" sz="1400" baseline="0">
              <a:solidFill>
                <a:schemeClr val="tx1"/>
              </a:solidFill>
            </a:rPr>
            <a:t>in todays modern business and finance. The main principle is the three-point estimation which is easy to apprehend. </a:t>
          </a:r>
        </a:p>
        <a:p>
          <a:pPr algn="l"/>
          <a:endParaRPr lang="da-DK" sz="1400" baseline="0">
            <a:solidFill>
              <a:schemeClr val="tx1"/>
            </a:solidFill>
          </a:endParaRPr>
        </a:p>
        <a:p>
          <a:pPr algn="l"/>
          <a:r>
            <a:rPr lang="da-DK" sz="1400" baseline="0">
              <a:solidFill>
                <a:schemeClr val="tx1"/>
              </a:solidFill>
            </a:rPr>
            <a:t>The method </a:t>
          </a:r>
          <a:r>
            <a:rPr lang="da-DK" sz="1400" b="1" baseline="0">
              <a:solidFill>
                <a:schemeClr val="tx1"/>
              </a:solidFill>
            </a:rPr>
            <a:t>has proven itself</a:t>
          </a:r>
          <a:r>
            <a:rPr lang="da-DK" sz="1400" baseline="0">
              <a:solidFill>
                <a:schemeClr val="tx1"/>
              </a:solidFill>
            </a:rPr>
            <a:t> through a numerous of projects with a </a:t>
          </a:r>
          <a:r>
            <a:rPr lang="da-DK" sz="1400" b="1" baseline="0">
              <a:solidFill>
                <a:schemeClr val="tx1"/>
              </a:solidFill>
            </a:rPr>
            <a:t>high degree of accuracy predicting budgets and time plans</a:t>
          </a:r>
          <a:r>
            <a:rPr lang="da-DK" sz="1400" b="0" baseline="0">
              <a:solidFill>
                <a:schemeClr val="tx1"/>
              </a:solidFill>
            </a:rPr>
            <a:t>!</a:t>
          </a:r>
          <a:r>
            <a:rPr lang="da-DK" sz="1400" baseline="0">
              <a:solidFill>
                <a:schemeClr val="tx1"/>
              </a:solidFill>
            </a:rPr>
            <a:t> E.g. the Norwegian State has been using the method for many years and is mandatory. </a:t>
          </a:r>
        </a:p>
        <a:p>
          <a:pPr algn="l"/>
          <a:endParaRPr lang="da-DK" sz="1400" baseline="0">
            <a:solidFill>
              <a:schemeClr val="tx1"/>
            </a:solidFill>
          </a:endParaRPr>
        </a:p>
        <a:p>
          <a:pPr algn="l"/>
          <a:r>
            <a:rPr lang="da-DK" sz="1400" b="1" baseline="0">
              <a:solidFill>
                <a:schemeClr val="tx1"/>
              </a:solidFill>
            </a:rPr>
            <a:t>Approx. 70% (2024) of Norwegian Highways, Tunnels and large IT Infra Structure projects conclude within budget!</a:t>
          </a:r>
          <a:endParaRPr lang="da-DK" sz="1400" b="1">
            <a:solidFill>
              <a:schemeClr val="tx1"/>
            </a:solidFill>
          </a:endParaRPr>
        </a:p>
      </xdr:txBody>
    </xdr:sp>
    <xdr:clientData/>
  </xdr:twoCellAnchor>
  <xdr:twoCellAnchor>
    <xdr:from>
      <xdr:col>0</xdr:col>
      <xdr:colOff>111760</xdr:colOff>
      <xdr:row>44</xdr:row>
      <xdr:rowOff>30480</xdr:rowOff>
    </xdr:from>
    <xdr:to>
      <xdr:col>8</xdr:col>
      <xdr:colOff>81280</xdr:colOff>
      <xdr:row>75</xdr:row>
      <xdr:rowOff>10160</xdr:rowOff>
    </xdr:to>
    <xdr:sp macro="" textlink="">
      <xdr:nvSpPr>
        <xdr:cNvPr id="5" name="Rectangle 4">
          <a:extLst>
            <a:ext uri="{FF2B5EF4-FFF2-40B4-BE49-F238E27FC236}">
              <a16:creationId xmlns:a16="http://schemas.microsoft.com/office/drawing/2014/main" id="{CEA23ECE-B3A5-4031-80ED-ADCE7FA042BB}"/>
            </a:ext>
          </a:extLst>
        </xdr:cNvPr>
        <xdr:cNvSpPr/>
      </xdr:nvSpPr>
      <xdr:spPr>
        <a:xfrm>
          <a:off x="111760" y="6259830"/>
          <a:ext cx="9212580" cy="51765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500" b="1" baseline="0">
              <a:solidFill>
                <a:schemeClr val="tx1"/>
              </a:solidFill>
            </a:rPr>
            <a:t>ESTIMATION OF THE SOUROUNDINGS?</a:t>
          </a:r>
        </a:p>
        <a:p>
          <a:pPr algn="l"/>
          <a:r>
            <a:rPr lang="da-DK" sz="1500" baseline="0">
              <a:solidFill>
                <a:schemeClr val="tx1"/>
              </a:solidFill>
            </a:rPr>
            <a:t>The challenge of the </a:t>
          </a:r>
          <a:r>
            <a:rPr lang="da-DK" sz="1500" i="1" baseline="0">
              <a:solidFill>
                <a:schemeClr val="tx1"/>
              </a:solidFill>
            </a:rPr>
            <a:t>Successive Principle </a:t>
          </a:r>
          <a:r>
            <a:rPr lang="da-DK" sz="1500" baseline="0">
              <a:solidFill>
                <a:schemeClr val="tx1"/>
              </a:solidFill>
            </a:rPr>
            <a:t>is the estimation of how much the surrounding poses uncertainty to the project. However, everyone knows that e.g. project management, portfolio management, variances in competencies, company maturity etc. can influence the project time and cost. So, why not estimate these as well ?</a:t>
          </a:r>
        </a:p>
        <a:p>
          <a:pPr algn="l"/>
          <a:endParaRPr lang="da-DK" sz="1500" baseline="0">
            <a:solidFill>
              <a:schemeClr val="tx1"/>
            </a:solidFill>
          </a:endParaRPr>
        </a:p>
        <a:p>
          <a:pPr algn="l"/>
          <a:r>
            <a:rPr lang="da-DK" sz="1500" baseline="0">
              <a:solidFill>
                <a:schemeClr val="tx1"/>
              </a:solidFill>
            </a:rPr>
            <a:t>This is a very important part of the </a:t>
          </a:r>
          <a:r>
            <a:rPr lang="da-DK" sz="1500" i="1" baseline="0">
              <a:solidFill>
                <a:schemeClr val="tx1"/>
              </a:solidFill>
            </a:rPr>
            <a:t>Successive Principle</a:t>
          </a:r>
          <a:r>
            <a:rPr lang="da-DK" sz="1500" baseline="0">
              <a:solidFill>
                <a:schemeClr val="tx1"/>
              </a:solidFill>
            </a:rPr>
            <a:t>, as often 75-90% of all uncertainty is in the surroundings!</a:t>
          </a:r>
        </a:p>
        <a:p>
          <a:pPr algn="l"/>
          <a:endParaRPr lang="da-DK" sz="1500" baseline="0">
            <a:solidFill>
              <a:schemeClr val="tx1"/>
            </a:solidFill>
          </a:endParaRPr>
        </a:p>
        <a:p>
          <a:pPr algn="l"/>
          <a:r>
            <a:rPr lang="da-DK" sz="1500" b="1" baseline="0">
              <a:solidFill>
                <a:schemeClr val="tx1"/>
              </a:solidFill>
            </a:rPr>
            <a:t>CASES</a:t>
          </a:r>
        </a:p>
        <a:p>
          <a:pPr algn="l"/>
          <a:r>
            <a:rPr lang="da-DK" sz="1500" baseline="0">
              <a:solidFill>
                <a:schemeClr val="tx1"/>
              </a:solidFill>
            </a:rPr>
            <a:t>COMPILOT has used the method with success in a number of projects and business cases. E.g.:</a:t>
          </a:r>
        </a:p>
        <a:p>
          <a:pPr algn="l"/>
          <a:endParaRPr lang="da-DK" sz="600" baseline="0">
            <a:solidFill>
              <a:schemeClr val="tx1"/>
            </a:solidFill>
          </a:endParaRPr>
        </a:p>
        <a:p>
          <a:pPr algn="l"/>
          <a:r>
            <a:rPr lang="da-DK" sz="1500" baseline="0">
              <a:solidFill>
                <a:schemeClr val="tx1"/>
              </a:solidFill>
              <a:latin typeface="Calibri" panose="020F0502020204030204" pitchFamily="34" charset="0"/>
              <a:cs typeface="Calibri" panose="020F0502020204030204" pitchFamily="34" charset="0"/>
            </a:rPr>
            <a:t>● Development of a large  HW/SW for Turbine Controller Platform, Client 1</a:t>
          </a:r>
        </a:p>
        <a:p>
          <a:pPr algn="l"/>
          <a:r>
            <a:rPr lang="da-DK" sz="1500" baseline="0">
              <a:solidFill>
                <a:schemeClr val="tx1"/>
              </a:solidFill>
              <a:latin typeface="Calibri" panose="020F0502020204030204" pitchFamily="34" charset="0"/>
              <a:cs typeface="Calibri" panose="020F0502020204030204" pitchFamily="34" charset="0"/>
            </a:rPr>
            <a:t>● Development of a large  HW/SW for Turbine Controller Platform, Client 2</a:t>
          </a:r>
        </a:p>
        <a:p>
          <a:pPr algn="l"/>
          <a:r>
            <a:rPr lang="da-DK" sz="1500" baseline="0">
              <a:solidFill>
                <a:schemeClr val="tx1"/>
              </a:solidFill>
              <a:latin typeface="Calibri" panose="020F0502020204030204" pitchFamily="34" charset="0"/>
              <a:cs typeface="Calibri" panose="020F0502020204030204" pitchFamily="34" charset="0"/>
            </a:rPr>
            <a:t>● Development of a new 3 MW Direct Drive Wind Turbine</a:t>
          </a:r>
        </a:p>
        <a:p>
          <a:pPr algn="l"/>
          <a:r>
            <a:rPr lang="da-DK" sz="1500" baseline="0">
              <a:solidFill>
                <a:schemeClr val="tx1"/>
              </a:solidFill>
              <a:latin typeface="Calibri" panose="020F0502020204030204" pitchFamily="34" charset="0"/>
              <a:cs typeface="Calibri" panose="020F0502020204030204" pitchFamily="34" charset="0"/>
            </a:rPr>
            <a:t>● Development of a new 6 MW Direct Drive Wind Turbine</a:t>
          </a:r>
          <a:endParaRPr lang="da-DK" sz="1500" baseline="0">
            <a:solidFill>
              <a:schemeClr val="tx1"/>
            </a:solidFill>
            <a:latin typeface="+mn-lt"/>
            <a:cs typeface="+mn-cs"/>
          </a:endParaRPr>
        </a:p>
        <a:p>
          <a:pPr algn="l"/>
          <a:r>
            <a:rPr lang="da-DK" sz="1500" baseline="0">
              <a:solidFill>
                <a:schemeClr val="tx1"/>
              </a:solidFill>
              <a:latin typeface="Calibri" panose="020F0502020204030204" pitchFamily="34" charset="0"/>
              <a:cs typeface="Calibri" panose="020F0502020204030204" pitchFamily="34" charset="0"/>
            </a:rPr>
            <a:t>● Financial Risk Assessment of a Large Offshore Wind Farm in UK, Vattenfall</a:t>
          </a:r>
        </a:p>
        <a:p>
          <a:pPr algn="l"/>
          <a:r>
            <a:rPr lang="da-DK" sz="1500" baseline="0">
              <a:solidFill>
                <a:schemeClr val="tx1"/>
              </a:solidFill>
              <a:latin typeface="Calibri" panose="020F0502020204030204" pitchFamily="34" charset="0"/>
              <a:cs typeface="Calibri" panose="020F0502020204030204" pitchFamily="34" charset="0"/>
            </a:rPr>
            <a:t>● Financial Risk Assessment of a an Offshore Wind Farm in UK, German Client</a:t>
          </a:r>
        </a:p>
        <a:p>
          <a:pPr algn="l"/>
          <a:endParaRPr lang="da-DK" sz="1500" baseline="0">
            <a:solidFill>
              <a:schemeClr val="tx1"/>
            </a:solidFill>
            <a:latin typeface="Calibri" panose="020F0502020204030204" pitchFamily="34" charset="0"/>
            <a:cs typeface="Calibri" panose="020F0502020204030204" pitchFamily="34" charset="0"/>
          </a:endParaRPr>
        </a:p>
        <a:p>
          <a:pPr algn="l"/>
          <a:r>
            <a:rPr lang="da-DK" sz="1500" b="1" baseline="0">
              <a:solidFill>
                <a:schemeClr val="tx1"/>
              </a:solidFill>
              <a:latin typeface="Calibri" panose="020F0502020204030204" pitchFamily="34" charset="0"/>
              <a:cs typeface="Calibri" panose="020F0502020204030204" pitchFamily="34" charset="0"/>
            </a:rPr>
            <a:t>The estimations provides:</a:t>
          </a:r>
        </a:p>
        <a:p>
          <a:pPr algn="l"/>
          <a:r>
            <a:rPr lang="da-DK" sz="1500" baseline="0">
              <a:solidFill>
                <a:schemeClr val="tx1"/>
              </a:solidFill>
              <a:latin typeface="Calibri" panose="020F0502020204030204" pitchFamily="34" charset="0"/>
              <a:cs typeface="Calibri" panose="020F0502020204030204" pitchFamily="34" charset="0"/>
            </a:rPr>
            <a:t>● Overview of Top10 risk elements and basis for mitigation plans</a:t>
          </a:r>
        </a:p>
        <a:p>
          <a:pPr algn="l"/>
          <a:r>
            <a:rPr lang="da-DK" sz="1500" baseline="0">
              <a:solidFill>
                <a:schemeClr val="tx1"/>
              </a:solidFill>
              <a:latin typeface="Calibri" panose="020F0502020204030204" pitchFamily="34" charset="0"/>
              <a:cs typeface="Calibri" panose="020F0502020204030204" pitchFamily="34" charset="0"/>
            </a:rPr>
            <a:t>● Robust plans, as the project could be frontloaded with resources</a:t>
          </a:r>
        </a:p>
        <a:p>
          <a:pPr algn="l"/>
          <a:r>
            <a:rPr lang="da-DK" sz="1500" baseline="0">
              <a:solidFill>
                <a:schemeClr val="tx1"/>
              </a:solidFill>
              <a:latin typeface="Calibri" panose="020F0502020204030204" pitchFamily="34" charset="0"/>
              <a:cs typeface="Calibri" panose="020F0502020204030204" pitchFamily="34" charset="0"/>
            </a:rPr>
            <a:t>● Stimulated Team Spirit, as the engineering groups worked together</a:t>
          </a:r>
        </a:p>
        <a:p>
          <a:pPr algn="l"/>
          <a:r>
            <a:rPr lang="da-DK" sz="1500" baseline="0">
              <a:solidFill>
                <a:schemeClr val="tx1"/>
              </a:solidFill>
              <a:latin typeface="Calibri" panose="020F0502020204030204" pitchFamily="34" charset="0"/>
              <a:cs typeface="Calibri" panose="020F0502020204030204" pitchFamily="34" charset="0"/>
            </a:rPr>
            <a:t>● Common insight in the project across departments</a:t>
          </a:r>
        </a:p>
      </xdr:txBody>
    </xdr:sp>
    <xdr:clientData/>
  </xdr:twoCellAnchor>
  <xdr:twoCellAnchor editAs="oneCell">
    <xdr:from>
      <xdr:col>7</xdr:col>
      <xdr:colOff>1036320</xdr:colOff>
      <xdr:row>55</xdr:row>
      <xdr:rowOff>142240</xdr:rowOff>
    </xdr:from>
    <xdr:to>
      <xdr:col>8</xdr:col>
      <xdr:colOff>182880</xdr:colOff>
      <xdr:row>62</xdr:row>
      <xdr:rowOff>63500</xdr:rowOff>
    </xdr:to>
    <xdr:pic>
      <xdr:nvPicPr>
        <xdr:cNvPr id="6" name="Picture 5" descr="A large black case with wheels&#10;&#10;Description automatically generated with medium confidence">
          <a:extLst>
            <a:ext uri="{FF2B5EF4-FFF2-40B4-BE49-F238E27FC236}">
              <a16:creationId xmlns:a16="http://schemas.microsoft.com/office/drawing/2014/main" id="{9B0D05CF-3BDD-4C25-AF6A-5AA9172239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650480" y="8204200"/>
          <a:ext cx="1775460" cy="1254760"/>
        </a:xfrm>
        <a:prstGeom prst="rect">
          <a:avLst/>
        </a:prstGeom>
      </xdr:spPr>
    </xdr:pic>
    <xdr:clientData/>
  </xdr:twoCellAnchor>
  <xdr:twoCellAnchor editAs="oneCell">
    <xdr:from>
      <xdr:col>6</xdr:col>
      <xdr:colOff>1087120</xdr:colOff>
      <xdr:row>64</xdr:row>
      <xdr:rowOff>49530</xdr:rowOff>
    </xdr:from>
    <xdr:to>
      <xdr:col>7</xdr:col>
      <xdr:colOff>2001520</xdr:colOff>
      <xdr:row>72</xdr:row>
      <xdr:rowOff>0</xdr:rowOff>
    </xdr:to>
    <xdr:pic>
      <xdr:nvPicPr>
        <xdr:cNvPr id="7" name="Picture 6">
          <a:extLst>
            <a:ext uri="{FF2B5EF4-FFF2-40B4-BE49-F238E27FC236}">
              <a16:creationId xmlns:a16="http://schemas.microsoft.com/office/drawing/2014/main" id="{A682D396-9415-4435-B0CF-EB235C6145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89700" y="9757410"/>
          <a:ext cx="2125980" cy="1200150"/>
        </a:xfrm>
        <a:prstGeom prst="rect">
          <a:avLst/>
        </a:prstGeom>
      </xdr:spPr>
    </xdr:pic>
    <xdr:clientData/>
  </xdr:twoCellAnchor>
  <xdr:twoCellAnchor>
    <xdr:from>
      <xdr:col>12</xdr:col>
      <xdr:colOff>20320</xdr:colOff>
      <xdr:row>7</xdr:row>
      <xdr:rowOff>71120</xdr:rowOff>
    </xdr:from>
    <xdr:to>
      <xdr:col>19</xdr:col>
      <xdr:colOff>50801</xdr:colOff>
      <xdr:row>12</xdr:row>
      <xdr:rowOff>55880</xdr:rowOff>
    </xdr:to>
    <xdr:sp macro="" textlink="">
      <xdr:nvSpPr>
        <xdr:cNvPr id="8" name="Rectangle 7">
          <a:extLst>
            <a:ext uri="{FF2B5EF4-FFF2-40B4-BE49-F238E27FC236}">
              <a16:creationId xmlns:a16="http://schemas.microsoft.com/office/drawing/2014/main" id="{42264083-C3EF-4134-9FD8-1139FC93FB71}"/>
            </a:ext>
          </a:extLst>
        </xdr:cNvPr>
        <xdr:cNvSpPr/>
      </xdr:nvSpPr>
      <xdr:spPr>
        <a:xfrm>
          <a:off x="11936548" y="1558835"/>
          <a:ext cx="4602481" cy="1044302"/>
        </a:xfrm>
        <a:prstGeom prst="rect">
          <a:avLst/>
        </a:prstGeom>
        <a:solidFill>
          <a:schemeClr val="bg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a-DK" sz="1200" b="1" i="1">
              <a:solidFill>
                <a:schemeClr val="tx1"/>
              </a:solidFill>
            </a:rPr>
            <a:t>The Successive Principle </a:t>
          </a:r>
          <a:r>
            <a:rPr lang="da-DK" sz="1200" b="1" i="0">
              <a:solidFill>
                <a:schemeClr val="tx1"/>
              </a:solidFill>
            </a:rPr>
            <a:t>-</a:t>
          </a:r>
          <a:r>
            <a:rPr lang="da-DK" sz="1200" b="1" i="0" baseline="0">
              <a:solidFill>
                <a:schemeClr val="tx1"/>
              </a:solidFill>
            </a:rPr>
            <a:t> The Book.</a:t>
          </a:r>
        </a:p>
        <a:p>
          <a:pPr algn="l"/>
          <a:endParaRPr lang="da-DK" sz="1200" i="0" baseline="0">
            <a:solidFill>
              <a:schemeClr val="tx1"/>
            </a:solidFill>
          </a:endParaRPr>
        </a:p>
        <a:p>
          <a:pPr algn="l"/>
          <a:r>
            <a:rPr lang="da-DK" sz="1200" i="0" baseline="0">
              <a:solidFill>
                <a:schemeClr val="tx1"/>
              </a:solidFill>
            </a:rPr>
            <a:t>Can be purchased via mail@compilot.dk</a:t>
          </a:r>
        </a:p>
        <a:p>
          <a:pPr algn="l"/>
          <a:r>
            <a:rPr lang="da-DK" sz="1200" i="0" baseline="0">
              <a:solidFill>
                <a:schemeClr val="tx1"/>
              </a:solidFill>
            </a:rPr>
            <a:t>See further info on YouTube "Risk Management &amp; EBIT Control".</a:t>
          </a:r>
        </a:p>
        <a:p>
          <a:pPr algn="l"/>
          <a:r>
            <a:rPr lang="da-DK" sz="1200" i="0" baseline="0">
              <a:solidFill>
                <a:schemeClr val="tx1"/>
              </a:solidFill>
            </a:rPr>
            <a:t>E-Book can be purchased via Molio.dk </a:t>
          </a:r>
          <a:endParaRPr lang="da-DK" sz="1200" b="1">
            <a:solidFill>
              <a:schemeClr val="tx1"/>
            </a:solidFill>
          </a:endParaRPr>
        </a:p>
      </xdr:txBody>
    </xdr:sp>
    <xdr:clientData/>
  </xdr:twoCellAnchor>
  <xdr:twoCellAnchor>
    <xdr:from>
      <xdr:col>5</xdr:col>
      <xdr:colOff>1347189</xdr:colOff>
      <xdr:row>11</xdr:row>
      <xdr:rowOff>116840</xdr:rowOff>
    </xdr:from>
    <xdr:to>
      <xdr:col>7</xdr:col>
      <xdr:colOff>2550160</xdr:colOff>
      <xdr:row>40</xdr:row>
      <xdr:rowOff>185666</xdr:rowOff>
    </xdr:to>
    <xdr:grpSp>
      <xdr:nvGrpSpPr>
        <xdr:cNvPr id="9" name="Group 8">
          <a:extLst>
            <a:ext uri="{FF2B5EF4-FFF2-40B4-BE49-F238E27FC236}">
              <a16:creationId xmlns:a16="http://schemas.microsoft.com/office/drawing/2014/main" id="{9EB5D031-4FF4-4108-9D2F-0346979B9D5B}"/>
            </a:ext>
          </a:extLst>
        </xdr:cNvPr>
        <xdr:cNvGrpSpPr/>
      </xdr:nvGrpSpPr>
      <xdr:grpSpPr>
        <a:xfrm>
          <a:off x="4663704" y="2388325"/>
          <a:ext cx="4722684" cy="3269226"/>
          <a:chOff x="4567909" y="2550159"/>
          <a:chExt cx="4773347" cy="3701027"/>
        </a:xfrm>
      </xdr:grpSpPr>
      <xdr:grpSp>
        <xdr:nvGrpSpPr>
          <xdr:cNvPr id="10" name="Group 9">
            <a:extLst>
              <a:ext uri="{FF2B5EF4-FFF2-40B4-BE49-F238E27FC236}">
                <a16:creationId xmlns:a16="http://schemas.microsoft.com/office/drawing/2014/main" id="{569D37FE-14B3-39C5-662E-7223A18B9D6C}"/>
              </a:ext>
            </a:extLst>
          </xdr:cNvPr>
          <xdr:cNvGrpSpPr/>
        </xdr:nvGrpSpPr>
        <xdr:grpSpPr>
          <a:xfrm>
            <a:off x="4567909" y="2550159"/>
            <a:ext cx="4773347" cy="3701027"/>
            <a:chOff x="1989362" y="1506551"/>
            <a:chExt cx="4773347" cy="3701027"/>
          </a:xfrm>
        </xdr:grpSpPr>
        <xdr:grpSp>
          <xdr:nvGrpSpPr>
            <xdr:cNvPr id="12" name="Group 11">
              <a:extLst>
                <a:ext uri="{FF2B5EF4-FFF2-40B4-BE49-F238E27FC236}">
                  <a16:creationId xmlns:a16="http://schemas.microsoft.com/office/drawing/2014/main" id="{3B85F42C-1173-8A29-0FD5-42A15D878966}"/>
                </a:ext>
              </a:extLst>
            </xdr:cNvPr>
            <xdr:cNvGrpSpPr/>
          </xdr:nvGrpSpPr>
          <xdr:grpSpPr>
            <a:xfrm>
              <a:off x="1989362" y="1506551"/>
              <a:ext cx="4403798" cy="3701027"/>
              <a:chOff x="1989362" y="1506551"/>
              <a:chExt cx="4403798" cy="3701027"/>
            </a:xfrm>
          </xdr:grpSpPr>
          <xdr:sp macro="" textlink="">
            <xdr:nvSpPr>
              <xdr:cNvPr id="14" name="Rectangle 13">
                <a:extLst>
                  <a:ext uri="{FF2B5EF4-FFF2-40B4-BE49-F238E27FC236}">
                    <a16:creationId xmlns:a16="http://schemas.microsoft.com/office/drawing/2014/main" id="{B412EC0D-1000-A975-AF8A-8236B046C3BE}"/>
                  </a:ext>
                </a:extLst>
              </xdr:cNvPr>
              <xdr:cNvSpPr/>
            </xdr:nvSpPr>
            <xdr:spPr bwMode="auto">
              <a:xfrm>
                <a:off x="2921295" y="1916831"/>
                <a:ext cx="3471865" cy="1948317"/>
              </a:xfrm>
              <a:prstGeom prst="rect">
                <a:avLst/>
              </a:prstGeom>
              <a:solidFill>
                <a:srgbClr val="FF0000"/>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ctr" anchorCtr="0" compatLnSpc="1">
                <a:prstTxWarp prst="textNoShape">
                  <a:avLst/>
                </a:prstTxWarp>
              </a:bodyPr>
              <a:lstStyle>
                <a:defPPr>
                  <a:defRPr lang="da-DK"/>
                </a:defPPr>
                <a:lvl1pPr algn="ctr" rtl="0" fontAlgn="base">
                  <a:spcBef>
                    <a:spcPct val="0"/>
                  </a:spcBef>
                  <a:spcAft>
                    <a:spcPct val="0"/>
                  </a:spcAft>
                  <a:defRPr sz="2400" kern="1200">
                    <a:solidFill>
                      <a:schemeClr val="tx1"/>
                    </a:solidFill>
                    <a:latin typeface="Times New Roman" pitchFamily="18" charset="0"/>
                    <a:ea typeface="+mn-ea"/>
                    <a:cs typeface="+mn-cs"/>
                  </a:defRPr>
                </a:lvl1pPr>
                <a:lvl2pPr marL="457200" algn="ctr" rtl="0" fontAlgn="base">
                  <a:spcBef>
                    <a:spcPct val="0"/>
                  </a:spcBef>
                  <a:spcAft>
                    <a:spcPct val="0"/>
                  </a:spcAft>
                  <a:defRPr sz="2400" kern="1200">
                    <a:solidFill>
                      <a:schemeClr val="tx1"/>
                    </a:solidFill>
                    <a:latin typeface="Times New Roman" pitchFamily="18" charset="0"/>
                    <a:ea typeface="+mn-ea"/>
                    <a:cs typeface="+mn-cs"/>
                  </a:defRPr>
                </a:lvl2pPr>
                <a:lvl3pPr marL="914400" algn="ctr" rtl="0" fontAlgn="base">
                  <a:spcBef>
                    <a:spcPct val="0"/>
                  </a:spcBef>
                  <a:spcAft>
                    <a:spcPct val="0"/>
                  </a:spcAft>
                  <a:defRPr sz="2400" kern="1200">
                    <a:solidFill>
                      <a:schemeClr val="tx1"/>
                    </a:solidFill>
                    <a:latin typeface="Times New Roman" pitchFamily="18" charset="0"/>
                    <a:ea typeface="+mn-ea"/>
                    <a:cs typeface="+mn-cs"/>
                  </a:defRPr>
                </a:lvl3pPr>
                <a:lvl4pPr marL="1371600" algn="ctr" rtl="0" fontAlgn="base">
                  <a:spcBef>
                    <a:spcPct val="0"/>
                  </a:spcBef>
                  <a:spcAft>
                    <a:spcPct val="0"/>
                  </a:spcAft>
                  <a:defRPr sz="2400" kern="1200">
                    <a:solidFill>
                      <a:schemeClr val="tx1"/>
                    </a:solidFill>
                    <a:latin typeface="Times New Roman" pitchFamily="18" charset="0"/>
                    <a:ea typeface="+mn-ea"/>
                    <a:cs typeface="+mn-cs"/>
                  </a:defRPr>
                </a:lvl4pPr>
                <a:lvl5pPr marL="1828800" algn="ctr" rtl="0" fontAlgn="base">
                  <a:spcBef>
                    <a:spcPct val="0"/>
                  </a:spcBef>
                  <a:spcAft>
                    <a:spcPct val="0"/>
                  </a:spcAft>
                  <a:defRPr sz="2400" kern="1200">
                    <a:solidFill>
                      <a:schemeClr val="tx1"/>
                    </a:solidFill>
                    <a:latin typeface="Times New Roman" pitchFamily="18" charset="0"/>
                    <a:ea typeface="+mn-ea"/>
                    <a:cs typeface="+mn-cs"/>
                  </a:defRPr>
                </a:lvl5pPr>
                <a:lvl6pPr marL="2286000" algn="l" defTabSz="914400" rtl="0" eaLnBrk="1" latinLnBrk="0" hangingPunct="1">
                  <a:defRPr sz="2400" kern="1200">
                    <a:solidFill>
                      <a:schemeClr val="tx1"/>
                    </a:solidFill>
                    <a:latin typeface="Times New Roman" pitchFamily="18" charset="0"/>
                    <a:ea typeface="+mn-ea"/>
                    <a:cs typeface="+mn-cs"/>
                  </a:defRPr>
                </a:lvl6pPr>
                <a:lvl7pPr marL="2743200" algn="l" defTabSz="914400" rtl="0" eaLnBrk="1" latinLnBrk="0" hangingPunct="1">
                  <a:defRPr sz="2400" kern="1200">
                    <a:solidFill>
                      <a:schemeClr val="tx1"/>
                    </a:solidFill>
                    <a:latin typeface="Times New Roman" pitchFamily="18" charset="0"/>
                    <a:ea typeface="+mn-ea"/>
                    <a:cs typeface="+mn-cs"/>
                  </a:defRPr>
                </a:lvl7pPr>
                <a:lvl8pPr marL="3200400" algn="l" defTabSz="914400" rtl="0" eaLnBrk="1" latinLnBrk="0" hangingPunct="1">
                  <a:defRPr sz="2400" kern="1200">
                    <a:solidFill>
                      <a:schemeClr val="tx1"/>
                    </a:solidFill>
                    <a:latin typeface="Times New Roman" pitchFamily="18" charset="0"/>
                    <a:ea typeface="+mn-ea"/>
                    <a:cs typeface="+mn-cs"/>
                  </a:defRPr>
                </a:lvl8pPr>
                <a:lvl9pPr marL="3657600" algn="l" defTabSz="914400" rtl="0" eaLnBrk="1" latinLnBrk="0" hangingPunct="1">
                  <a:defRPr sz="2400" kern="1200">
                    <a:solidFill>
                      <a:schemeClr val="tx1"/>
                    </a:solidFill>
                    <a:latin typeface="Times New Roman" pitchFamily="18" charset="0"/>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da-DK" sz="2400" b="1" i="0" kern="1200" baseline="0">
                    <a:solidFill>
                      <a:schemeClr val="bg1"/>
                    </a:solidFill>
                    <a:effectLst/>
                    <a:latin typeface="Times New Roman" pitchFamily="18" charset="0"/>
                    <a:ea typeface="+mn-ea"/>
                    <a:cs typeface="+mn-cs"/>
                  </a:rPr>
                  <a:t>Uncertainty Share:</a:t>
                </a:r>
                <a:endParaRPr lang="da-DK">
                  <a:solidFill>
                    <a:schemeClr val="bg1"/>
                  </a:solidFill>
                  <a:effectLst/>
                </a:endParaRPr>
              </a:p>
              <a:p>
                <a:pPr marL="0" marR="0" indent="0" algn="ctr" defTabSz="914400" rtl="0" eaLnBrk="1" fontAlgn="base" latinLnBrk="0" hangingPunct="1">
                  <a:lnSpc>
                    <a:spcPct val="100000"/>
                  </a:lnSpc>
                  <a:spcBef>
                    <a:spcPct val="0"/>
                  </a:spcBef>
                  <a:spcAft>
                    <a:spcPct val="0"/>
                  </a:spcAft>
                  <a:buClrTx/>
                  <a:buSzTx/>
                  <a:buFontTx/>
                  <a:buNone/>
                  <a:tabLst/>
                </a:pPr>
                <a:r>
                  <a:rPr kumimoji="0" lang="da-DK" sz="2400" b="1" i="0" u="none" strike="noStrike" cap="none" normalizeH="0" baseline="0">
                    <a:ln>
                      <a:noFill/>
                    </a:ln>
                    <a:solidFill>
                      <a:schemeClr val="bg1"/>
                    </a:solidFill>
                    <a:effectLst/>
                    <a:latin typeface="Times New Roman" pitchFamily="18" charset="0"/>
                  </a:rPr>
                  <a:t>Surroundings</a:t>
                </a:r>
              </a:p>
            </xdr:txBody>
          </xdr:sp>
          <xdr:sp macro="" textlink="">
            <xdr:nvSpPr>
              <xdr:cNvPr id="15" name="Rectangle 14">
                <a:extLst>
                  <a:ext uri="{FF2B5EF4-FFF2-40B4-BE49-F238E27FC236}">
                    <a16:creationId xmlns:a16="http://schemas.microsoft.com/office/drawing/2014/main" id="{DF13A006-EFFF-943C-DF6F-4ABF41195EB0}"/>
                  </a:ext>
                </a:extLst>
              </xdr:cNvPr>
              <xdr:cNvSpPr/>
            </xdr:nvSpPr>
            <xdr:spPr bwMode="auto">
              <a:xfrm>
                <a:off x="2929314" y="4101597"/>
                <a:ext cx="3463846" cy="971683"/>
              </a:xfrm>
              <a:prstGeom prst="rect">
                <a:avLst/>
              </a:prstGeom>
              <a:solidFill>
                <a:srgbClr val="0000FF"/>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ctr" anchorCtr="0" compatLnSpc="1">
                <a:prstTxWarp prst="textNoShape">
                  <a:avLst/>
                </a:prstTxWarp>
              </a:bodyPr>
              <a:lstStyle>
                <a:defPPr>
                  <a:defRPr lang="da-DK"/>
                </a:defPPr>
                <a:lvl1pPr algn="ctr" rtl="0" fontAlgn="base">
                  <a:spcBef>
                    <a:spcPct val="0"/>
                  </a:spcBef>
                  <a:spcAft>
                    <a:spcPct val="0"/>
                  </a:spcAft>
                  <a:defRPr sz="2400" kern="1200">
                    <a:solidFill>
                      <a:schemeClr val="tx1"/>
                    </a:solidFill>
                    <a:latin typeface="Times New Roman" pitchFamily="18" charset="0"/>
                    <a:ea typeface="+mn-ea"/>
                    <a:cs typeface="+mn-cs"/>
                  </a:defRPr>
                </a:lvl1pPr>
                <a:lvl2pPr marL="457200" algn="ctr" rtl="0" fontAlgn="base">
                  <a:spcBef>
                    <a:spcPct val="0"/>
                  </a:spcBef>
                  <a:spcAft>
                    <a:spcPct val="0"/>
                  </a:spcAft>
                  <a:defRPr sz="2400" kern="1200">
                    <a:solidFill>
                      <a:schemeClr val="tx1"/>
                    </a:solidFill>
                    <a:latin typeface="Times New Roman" pitchFamily="18" charset="0"/>
                    <a:ea typeface="+mn-ea"/>
                    <a:cs typeface="+mn-cs"/>
                  </a:defRPr>
                </a:lvl2pPr>
                <a:lvl3pPr marL="914400" algn="ctr" rtl="0" fontAlgn="base">
                  <a:spcBef>
                    <a:spcPct val="0"/>
                  </a:spcBef>
                  <a:spcAft>
                    <a:spcPct val="0"/>
                  </a:spcAft>
                  <a:defRPr sz="2400" kern="1200">
                    <a:solidFill>
                      <a:schemeClr val="tx1"/>
                    </a:solidFill>
                    <a:latin typeface="Times New Roman" pitchFamily="18" charset="0"/>
                    <a:ea typeface="+mn-ea"/>
                    <a:cs typeface="+mn-cs"/>
                  </a:defRPr>
                </a:lvl3pPr>
                <a:lvl4pPr marL="1371600" algn="ctr" rtl="0" fontAlgn="base">
                  <a:spcBef>
                    <a:spcPct val="0"/>
                  </a:spcBef>
                  <a:spcAft>
                    <a:spcPct val="0"/>
                  </a:spcAft>
                  <a:defRPr sz="2400" kern="1200">
                    <a:solidFill>
                      <a:schemeClr val="tx1"/>
                    </a:solidFill>
                    <a:latin typeface="Times New Roman" pitchFamily="18" charset="0"/>
                    <a:ea typeface="+mn-ea"/>
                    <a:cs typeface="+mn-cs"/>
                  </a:defRPr>
                </a:lvl4pPr>
                <a:lvl5pPr marL="1828800" algn="ctr" rtl="0" fontAlgn="base">
                  <a:spcBef>
                    <a:spcPct val="0"/>
                  </a:spcBef>
                  <a:spcAft>
                    <a:spcPct val="0"/>
                  </a:spcAft>
                  <a:defRPr sz="2400" kern="1200">
                    <a:solidFill>
                      <a:schemeClr val="tx1"/>
                    </a:solidFill>
                    <a:latin typeface="Times New Roman" pitchFamily="18" charset="0"/>
                    <a:ea typeface="+mn-ea"/>
                    <a:cs typeface="+mn-cs"/>
                  </a:defRPr>
                </a:lvl5pPr>
                <a:lvl6pPr marL="2286000" algn="l" defTabSz="914400" rtl="0" eaLnBrk="1" latinLnBrk="0" hangingPunct="1">
                  <a:defRPr sz="2400" kern="1200">
                    <a:solidFill>
                      <a:schemeClr val="tx1"/>
                    </a:solidFill>
                    <a:latin typeface="Times New Roman" pitchFamily="18" charset="0"/>
                    <a:ea typeface="+mn-ea"/>
                    <a:cs typeface="+mn-cs"/>
                  </a:defRPr>
                </a:lvl6pPr>
                <a:lvl7pPr marL="2743200" algn="l" defTabSz="914400" rtl="0" eaLnBrk="1" latinLnBrk="0" hangingPunct="1">
                  <a:defRPr sz="2400" kern="1200">
                    <a:solidFill>
                      <a:schemeClr val="tx1"/>
                    </a:solidFill>
                    <a:latin typeface="Times New Roman" pitchFamily="18" charset="0"/>
                    <a:ea typeface="+mn-ea"/>
                    <a:cs typeface="+mn-cs"/>
                  </a:defRPr>
                </a:lvl7pPr>
                <a:lvl8pPr marL="3200400" algn="l" defTabSz="914400" rtl="0" eaLnBrk="1" latinLnBrk="0" hangingPunct="1">
                  <a:defRPr sz="2400" kern="1200">
                    <a:solidFill>
                      <a:schemeClr val="tx1"/>
                    </a:solidFill>
                    <a:latin typeface="Times New Roman" pitchFamily="18" charset="0"/>
                    <a:ea typeface="+mn-ea"/>
                    <a:cs typeface="+mn-cs"/>
                  </a:defRPr>
                </a:lvl8pPr>
                <a:lvl9pPr marL="3657600" algn="l" defTabSz="914400" rtl="0" eaLnBrk="1" latinLnBrk="0" hangingPunct="1">
                  <a:defRPr sz="2400" kern="1200">
                    <a:solidFill>
                      <a:schemeClr val="tx1"/>
                    </a:solidFill>
                    <a:latin typeface="Times New Roman" pitchFamily="18" charset="0"/>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da-DK" sz="2000" b="1" kern="1200">
                    <a:solidFill>
                      <a:schemeClr val="bg1"/>
                    </a:solidFill>
                    <a:effectLst/>
                    <a:latin typeface="Times New Roman" pitchFamily="18" charset="0"/>
                    <a:ea typeface="+mn-ea"/>
                    <a:cs typeface="+mn-cs"/>
                  </a:rPr>
                  <a:t>Uncertainty Share:</a:t>
                </a:r>
                <a:endParaRPr lang="da-DK" sz="2000">
                  <a:solidFill>
                    <a:schemeClr val="bg1"/>
                  </a:solidFill>
                  <a:effectLst/>
                </a:endParaRPr>
              </a:p>
              <a:p>
                <a:pPr marL="0" marR="0" indent="0" algn="ctr" defTabSz="914400" rtl="0" eaLnBrk="1" fontAlgn="base" latinLnBrk="0" hangingPunct="1">
                  <a:lnSpc>
                    <a:spcPct val="100000"/>
                  </a:lnSpc>
                  <a:spcBef>
                    <a:spcPct val="0"/>
                  </a:spcBef>
                  <a:spcAft>
                    <a:spcPct val="0"/>
                  </a:spcAft>
                  <a:buClrTx/>
                  <a:buSzTx/>
                  <a:buFontTx/>
                  <a:buNone/>
                  <a:tabLst/>
                </a:pPr>
                <a:r>
                  <a:rPr kumimoji="0" lang="da-DK" sz="2000" b="1" i="0" u="none" strike="noStrike" cap="none" normalizeH="0" baseline="0">
                    <a:ln>
                      <a:noFill/>
                    </a:ln>
                    <a:solidFill>
                      <a:schemeClr val="bg1"/>
                    </a:solidFill>
                    <a:effectLst/>
                    <a:latin typeface="Times New Roman" pitchFamily="18" charset="0"/>
                  </a:rPr>
                  <a:t>Tasks in the project</a:t>
                </a:r>
              </a:p>
            </xdr:txBody>
          </xdr:sp>
          <xdr:sp macro="" textlink="">
            <xdr:nvSpPr>
              <xdr:cNvPr id="16" name="10-Point Star 24">
                <a:extLst>
                  <a:ext uri="{FF2B5EF4-FFF2-40B4-BE49-F238E27FC236}">
                    <a16:creationId xmlns:a16="http://schemas.microsoft.com/office/drawing/2014/main" id="{B40148AC-0CED-D646-7962-2D1BDA41D6F7}"/>
                  </a:ext>
                </a:extLst>
              </xdr:cNvPr>
              <xdr:cNvSpPr/>
            </xdr:nvSpPr>
            <xdr:spPr bwMode="auto">
              <a:xfrm>
                <a:off x="2457176" y="2613040"/>
                <a:ext cx="953176" cy="810679"/>
              </a:xfrm>
              <a:prstGeom prst="star10">
                <a:avLst/>
              </a:prstGeom>
              <a:solidFill>
                <a:srgbClr val="FFFF00"/>
              </a:solidFill>
              <a:ln w="19050" cap="flat" cmpd="sng" algn="ctr">
                <a:solidFill>
                  <a:schemeClr val="tx1"/>
                </a:solidFill>
                <a:prstDash val="solid"/>
                <a:round/>
                <a:headEnd type="none" w="med" len="med"/>
                <a:tailEnd type="none" w="med" len="med"/>
              </a:ln>
              <a:effectLst/>
            </xdr:spPr>
            <xdr:txBody>
              <a:bodyPr vert="horz" wrap="square" lIns="36000" tIns="36000" rIns="36000" bIns="36000" numCol="1" rtlCol="0" anchor="ctr" anchorCtr="1" compatLnSpc="1">
                <a:prstTxWarp prst="textNoShape">
                  <a:avLst/>
                </a:prstTxWarp>
              </a:bodyPr>
              <a:lstStyle>
                <a:defPPr>
                  <a:defRPr lang="da-DK"/>
                </a:defPPr>
                <a:lvl1pPr algn="ctr" rtl="0" fontAlgn="base">
                  <a:spcBef>
                    <a:spcPct val="0"/>
                  </a:spcBef>
                  <a:spcAft>
                    <a:spcPct val="0"/>
                  </a:spcAft>
                  <a:defRPr sz="2400" kern="1200">
                    <a:solidFill>
                      <a:schemeClr val="tx1"/>
                    </a:solidFill>
                    <a:latin typeface="Times New Roman" pitchFamily="18" charset="0"/>
                    <a:ea typeface="+mn-ea"/>
                    <a:cs typeface="+mn-cs"/>
                  </a:defRPr>
                </a:lvl1pPr>
                <a:lvl2pPr marL="457200" algn="ctr" rtl="0" fontAlgn="base">
                  <a:spcBef>
                    <a:spcPct val="0"/>
                  </a:spcBef>
                  <a:spcAft>
                    <a:spcPct val="0"/>
                  </a:spcAft>
                  <a:defRPr sz="2400" kern="1200">
                    <a:solidFill>
                      <a:schemeClr val="tx1"/>
                    </a:solidFill>
                    <a:latin typeface="Times New Roman" pitchFamily="18" charset="0"/>
                    <a:ea typeface="+mn-ea"/>
                    <a:cs typeface="+mn-cs"/>
                  </a:defRPr>
                </a:lvl2pPr>
                <a:lvl3pPr marL="914400" algn="ctr" rtl="0" fontAlgn="base">
                  <a:spcBef>
                    <a:spcPct val="0"/>
                  </a:spcBef>
                  <a:spcAft>
                    <a:spcPct val="0"/>
                  </a:spcAft>
                  <a:defRPr sz="2400" kern="1200">
                    <a:solidFill>
                      <a:schemeClr val="tx1"/>
                    </a:solidFill>
                    <a:latin typeface="Times New Roman" pitchFamily="18" charset="0"/>
                    <a:ea typeface="+mn-ea"/>
                    <a:cs typeface="+mn-cs"/>
                  </a:defRPr>
                </a:lvl3pPr>
                <a:lvl4pPr marL="1371600" algn="ctr" rtl="0" fontAlgn="base">
                  <a:spcBef>
                    <a:spcPct val="0"/>
                  </a:spcBef>
                  <a:spcAft>
                    <a:spcPct val="0"/>
                  </a:spcAft>
                  <a:defRPr sz="2400" kern="1200">
                    <a:solidFill>
                      <a:schemeClr val="tx1"/>
                    </a:solidFill>
                    <a:latin typeface="Times New Roman" pitchFamily="18" charset="0"/>
                    <a:ea typeface="+mn-ea"/>
                    <a:cs typeface="+mn-cs"/>
                  </a:defRPr>
                </a:lvl4pPr>
                <a:lvl5pPr marL="1828800" algn="ctr" rtl="0" fontAlgn="base">
                  <a:spcBef>
                    <a:spcPct val="0"/>
                  </a:spcBef>
                  <a:spcAft>
                    <a:spcPct val="0"/>
                  </a:spcAft>
                  <a:defRPr sz="2400" kern="1200">
                    <a:solidFill>
                      <a:schemeClr val="tx1"/>
                    </a:solidFill>
                    <a:latin typeface="Times New Roman" pitchFamily="18" charset="0"/>
                    <a:ea typeface="+mn-ea"/>
                    <a:cs typeface="+mn-cs"/>
                  </a:defRPr>
                </a:lvl5pPr>
                <a:lvl6pPr marL="2286000" algn="l" defTabSz="914400" rtl="0" eaLnBrk="1" latinLnBrk="0" hangingPunct="1">
                  <a:defRPr sz="2400" kern="1200">
                    <a:solidFill>
                      <a:schemeClr val="tx1"/>
                    </a:solidFill>
                    <a:latin typeface="Times New Roman" pitchFamily="18" charset="0"/>
                    <a:ea typeface="+mn-ea"/>
                    <a:cs typeface="+mn-cs"/>
                  </a:defRPr>
                </a:lvl6pPr>
                <a:lvl7pPr marL="2743200" algn="l" defTabSz="914400" rtl="0" eaLnBrk="1" latinLnBrk="0" hangingPunct="1">
                  <a:defRPr sz="2400" kern="1200">
                    <a:solidFill>
                      <a:schemeClr val="tx1"/>
                    </a:solidFill>
                    <a:latin typeface="Times New Roman" pitchFamily="18" charset="0"/>
                    <a:ea typeface="+mn-ea"/>
                    <a:cs typeface="+mn-cs"/>
                  </a:defRPr>
                </a:lvl7pPr>
                <a:lvl8pPr marL="3200400" algn="l" defTabSz="914400" rtl="0" eaLnBrk="1" latinLnBrk="0" hangingPunct="1">
                  <a:defRPr sz="2400" kern="1200">
                    <a:solidFill>
                      <a:schemeClr val="tx1"/>
                    </a:solidFill>
                    <a:latin typeface="Times New Roman" pitchFamily="18" charset="0"/>
                    <a:ea typeface="+mn-ea"/>
                    <a:cs typeface="+mn-cs"/>
                  </a:defRPr>
                </a:lvl8pPr>
                <a:lvl9pPr marL="3657600" algn="l" defTabSz="914400" rtl="0" eaLnBrk="1" latinLnBrk="0" hangingPunct="1">
                  <a:defRPr sz="2400" kern="1200">
                    <a:solidFill>
                      <a:schemeClr val="tx1"/>
                    </a:solidFill>
                    <a:latin typeface="Times New Roman" pitchFamily="18" charset="0"/>
                    <a:ea typeface="+mn-ea"/>
                    <a:cs typeface="+mn-cs"/>
                  </a:defRPr>
                </a:lvl9pPr>
              </a:lstStyle>
              <a:p>
                <a:pPr marL="0" marR="0" indent="0" algn="ctr" defTabSz="914400" rtl="0" eaLnBrk="1" fontAlgn="base" latinLnBrk="0" hangingPunct="1">
                  <a:lnSpc>
                    <a:spcPct val="100000"/>
                  </a:lnSpc>
                  <a:spcBef>
                    <a:spcPct val="0"/>
                  </a:spcBef>
                  <a:spcAft>
                    <a:spcPct val="0"/>
                  </a:spcAft>
                  <a:buClrTx/>
                  <a:buSzTx/>
                  <a:buFontTx/>
                  <a:buNone/>
                  <a:tabLst/>
                </a:pPr>
                <a:r>
                  <a:rPr lang="da-DK" sz="2200" b="1"/>
                  <a:t>80%</a:t>
                </a:r>
                <a:endParaRPr kumimoji="0" lang="da-DK" sz="2200" b="1" i="0" u="none" strike="noStrike" cap="none" normalizeH="0" baseline="0">
                  <a:ln>
                    <a:noFill/>
                  </a:ln>
                  <a:solidFill>
                    <a:schemeClr val="tx1"/>
                  </a:solidFill>
                  <a:effectLst/>
                </a:endParaRPr>
              </a:p>
            </xdr:txBody>
          </xdr:sp>
          <xdr:sp macro="" textlink="">
            <xdr:nvSpPr>
              <xdr:cNvPr id="17" name="10-Point Star 25">
                <a:extLst>
                  <a:ext uri="{FF2B5EF4-FFF2-40B4-BE49-F238E27FC236}">
                    <a16:creationId xmlns:a16="http://schemas.microsoft.com/office/drawing/2014/main" id="{1CC7707B-7F2D-9AE1-56C7-E8DB6CD8D090}"/>
                  </a:ext>
                </a:extLst>
              </xdr:cNvPr>
              <xdr:cNvSpPr/>
            </xdr:nvSpPr>
            <xdr:spPr bwMode="auto">
              <a:xfrm>
                <a:off x="2459670" y="4223349"/>
                <a:ext cx="837145" cy="683935"/>
              </a:xfrm>
              <a:prstGeom prst="star10">
                <a:avLst/>
              </a:prstGeom>
              <a:solidFill>
                <a:schemeClr val="accent3">
                  <a:lumMod val="75000"/>
                </a:schemeClr>
              </a:solidFill>
              <a:ln w="19050" cap="flat" cmpd="sng" algn="ctr">
                <a:solidFill>
                  <a:schemeClr val="tx1"/>
                </a:solidFill>
                <a:prstDash val="solid"/>
                <a:round/>
                <a:headEnd type="none" w="med" len="med"/>
                <a:tailEnd type="none" w="med" len="med"/>
              </a:ln>
              <a:effectLst/>
            </xdr:spPr>
            <xdr:txBody>
              <a:bodyPr rot="0" spcFirstLastPara="0" vert="horz" wrap="square" lIns="36000" tIns="36000" rIns="36000" bIns="36000" numCol="1" spcCol="0" rtlCol="0" fromWordArt="0" anchor="ctr" anchorCtr="1" forceAA="0" compatLnSpc="1">
                <a:prstTxWarp prst="textNoShape">
                  <a:avLst/>
                </a:prstTxWarp>
                <a:noAutofit/>
              </a:bodyPr>
              <a:lstStyle>
                <a:defPPr>
                  <a:defRPr lang="da-DK"/>
                </a:defPPr>
                <a:lvl1pPr algn="ctr" rtl="0" fontAlgn="base">
                  <a:spcBef>
                    <a:spcPct val="0"/>
                  </a:spcBef>
                  <a:spcAft>
                    <a:spcPct val="0"/>
                  </a:spcAft>
                  <a:defRPr sz="2400" kern="1200">
                    <a:solidFill>
                      <a:schemeClr val="tx1"/>
                    </a:solidFill>
                    <a:latin typeface="Times New Roman" pitchFamily="18" charset="0"/>
                    <a:ea typeface="+mn-ea"/>
                    <a:cs typeface="+mn-cs"/>
                  </a:defRPr>
                </a:lvl1pPr>
                <a:lvl2pPr marL="457200" algn="ctr" rtl="0" fontAlgn="base">
                  <a:spcBef>
                    <a:spcPct val="0"/>
                  </a:spcBef>
                  <a:spcAft>
                    <a:spcPct val="0"/>
                  </a:spcAft>
                  <a:defRPr sz="2400" kern="1200">
                    <a:solidFill>
                      <a:schemeClr val="tx1"/>
                    </a:solidFill>
                    <a:latin typeface="Times New Roman" pitchFamily="18" charset="0"/>
                    <a:ea typeface="+mn-ea"/>
                    <a:cs typeface="+mn-cs"/>
                  </a:defRPr>
                </a:lvl2pPr>
                <a:lvl3pPr marL="914400" algn="ctr" rtl="0" fontAlgn="base">
                  <a:spcBef>
                    <a:spcPct val="0"/>
                  </a:spcBef>
                  <a:spcAft>
                    <a:spcPct val="0"/>
                  </a:spcAft>
                  <a:defRPr sz="2400" kern="1200">
                    <a:solidFill>
                      <a:schemeClr val="tx1"/>
                    </a:solidFill>
                    <a:latin typeface="Times New Roman" pitchFamily="18" charset="0"/>
                    <a:ea typeface="+mn-ea"/>
                    <a:cs typeface="+mn-cs"/>
                  </a:defRPr>
                </a:lvl3pPr>
                <a:lvl4pPr marL="1371600" algn="ctr" rtl="0" fontAlgn="base">
                  <a:spcBef>
                    <a:spcPct val="0"/>
                  </a:spcBef>
                  <a:spcAft>
                    <a:spcPct val="0"/>
                  </a:spcAft>
                  <a:defRPr sz="2400" kern="1200">
                    <a:solidFill>
                      <a:schemeClr val="tx1"/>
                    </a:solidFill>
                    <a:latin typeface="Times New Roman" pitchFamily="18" charset="0"/>
                    <a:ea typeface="+mn-ea"/>
                    <a:cs typeface="+mn-cs"/>
                  </a:defRPr>
                </a:lvl4pPr>
                <a:lvl5pPr marL="1828800" algn="ctr" rtl="0" fontAlgn="base">
                  <a:spcBef>
                    <a:spcPct val="0"/>
                  </a:spcBef>
                  <a:spcAft>
                    <a:spcPct val="0"/>
                  </a:spcAft>
                  <a:defRPr sz="2400" kern="1200">
                    <a:solidFill>
                      <a:schemeClr val="tx1"/>
                    </a:solidFill>
                    <a:latin typeface="Times New Roman" pitchFamily="18" charset="0"/>
                    <a:ea typeface="+mn-ea"/>
                    <a:cs typeface="+mn-cs"/>
                  </a:defRPr>
                </a:lvl5pPr>
                <a:lvl6pPr marL="2286000" algn="l" defTabSz="914400" rtl="0" eaLnBrk="1" latinLnBrk="0" hangingPunct="1">
                  <a:defRPr sz="2400" kern="1200">
                    <a:solidFill>
                      <a:schemeClr val="tx1"/>
                    </a:solidFill>
                    <a:latin typeface="Times New Roman" pitchFamily="18" charset="0"/>
                    <a:ea typeface="+mn-ea"/>
                    <a:cs typeface="+mn-cs"/>
                  </a:defRPr>
                </a:lvl6pPr>
                <a:lvl7pPr marL="2743200" algn="l" defTabSz="914400" rtl="0" eaLnBrk="1" latinLnBrk="0" hangingPunct="1">
                  <a:defRPr sz="2400" kern="1200">
                    <a:solidFill>
                      <a:schemeClr val="tx1"/>
                    </a:solidFill>
                    <a:latin typeface="Times New Roman" pitchFamily="18" charset="0"/>
                    <a:ea typeface="+mn-ea"/>
                    <a:cs typeface="+mn-cs"/>
                  </a:defRPr>
                </a:lvl7pPr>
                <a:lvl8pPr marL="3200400" algn="l" defTabSz="914400" rtl="0" eaLnBrk="1" latinLnBrk="0" hangingPunct="1">
                  <a:defRPr sz="2400" kern="1200">
                    <a:solidFill>
                      <a:schemeClr val="tx1"/>
                    </a:solidFill>
                    <a:latin typeface="Times New Roman" pitchFamily="18" charset="0"/>
                    <a:ea typeface="+mn-ea"/>
                    <a:cs typeface="+mn-cs"/>
                  </a:defRPr>
                </a:lvl8pPr>
                <a:lvl9pPr marL="3657600" algn="l" defTabSz="914400" rtl="0" eaLnBrk="1" latinLnBrk="0" hangingPunct="1">
                  <a:defRPr sz="2400" kern="1200">
                    <a:solidFill>
                      <a:schemeClr val="tx1"/>
                    </a:solidFill>
                    <a:latin typeface="Times New Roman" pitchFamily="18" charset="0"/>
                    <a:ea typeface="+mn-ea"/>
                    <a:cs typeface="+mn-cs"/>
                  </a:defRPr>
                </a:lvl9pPr>
              </a:lstStyle>
              <a:p>
                <a:r>
                  <a:rPr lang="da-DK" sz="1800" b="1"/>
                  <a:t>20%</a:t>
                </a:r>
              </a:p>
            </xdr:txBody>
          </xdr:sp>
          <xdr:sp macro="" textlink="">
            <xdr:nvSpPr>
              <xdr:cNvPr id="18" name="TextBox 14">
                <a:extLst>
                  <a:ext uri="{FF2B5EF4-FFF2-40B4-BE49-F238E27FC236}">
                    <a16:creationId xmlns:a16="http://schemas.microsoft.com/office/drawing/2014/main" id="{5F8FB43F-F3E7-97A1-6E7F-A69FBAEA3EF3}"/>
                  </a:ext>
                </a:extLst>
              </xdr:cNvPr>
              <xdr:cNvSpPr txBox="1"/>
            </xdr:nvSpPr>
            <xdr:spPr>
              <a:xfrm rot="16200000">
                <a:off x="317743" y="3178170"/>
                <a:ext cx="3701027" cy="357790"/>
              </a:xfrm>
              <a:prstGeom prst="rect">
                <a:avLst/>
              </a:prstGeom>
              <a:solidFill>
                <a:schemeClr val="bg1">
                  <a:lumMod val="95000"/>
                </a:schemeClr>
              </a:solidFill>
            </xdr:spPr>
            <xdr:txBody>
              <a:bodyPr wrap="square" rtlCol="0">
                <a:spAutoFit/>
              </a:bodyPr>
              <a:lstStyle>
                <a:defPPr>
                  <a:defRPr lang="da-DK"/>
                </a:defPPr>
                <a:lvl1pPr algn="ctr" rtl="0" fontAlgn="base">
                  <a:spcBef>
                    <a:spcPct val="0"/>
                  </a:spcBef>
                  <a:spcAft>
                    <a:spcPct val="0"/>
                  </a:spcAft>
                  <a:defRPr sz="2400" kern="1200">
                    <a:solidFill>
                      <a:schemeClr val="tx1"/>
                    </a:solidFill>
                    <a:latin typeface="Times New Roman" pitchFamily="18" charset="0"/>
                    <a:ea typeface="+mn-ea"/>
                    <a:cs typeface="+mn-cs"/>
                  </a:defRPr>
                </a:lvl1pPr>
                <a:lvl2pPr marL="457200" algn="ctr" rtl="0" fontAlgn="base">
                  <a:spcBef>
                    <a:spcPct val="0"/>
                  </a:spcBef>
                  <a:spcAft>
                    <a:spcPct val="0"/>
                  </a:spcAft>
                  <a:defRPr sz="2400" kern="1200">
                    <a:solidFill>
                      <a:schemeClr val="tx1"/>
                    </a:solidFill>
                    <a:latin typeface="Times New Roman" pitchFamily="18" charset="0"/>
                    <a:ea typeface="+mn-ea"/>
                    <a:cs typeface="+mn-cs"/>
                  </a:defRPr>
                </a:lvl2pPr>
                <a:lvl3pPr marL="914400" algn="ctr" rtl="0" fontAlgn="base">
                  <a:spcBef>
                    <a:spcPct val="0"/>
                  </a:spcBef>
                  <a:spcAft>
                    <a:spcPct val="0"/>
                  </a:spcAft>
                  <a:defRPr sz="2400" kern="1200">
                    <a:solidFill>
                      <a:schemeClr val="tx1"/>
                    </a:solidFill>
                    <a:latin typeface="Times New Roman" pitchFamily="18" charset="0"/>
                    <a:ea typeface="+mn-ea"/>
                    <a:cs typeface="+mn-cs"/>
                  </a:defRPr>
                </a:lvl3pPr>
                <a:lvl4pPr marL="1371600" algn="ctr" rtl="0" fontAlgn="base">
                  <a:spcBef>
                    <a:spcPct val="0"/>
                  </a:spcBef>
                  <a:spcAft>
                    <a:spcPct val="0"/>
                  </a:spcAft>
                  <a:defRPr sz="2400" kern="1200">
                    <a:solidFill>
                      <a:schemeClr val="tx1"/>
                    </a:solidFill>
                    <a:latin typeface="Times New Roman" pitchFamily="18" charset="0"/>
                    <a:ea typeface="+mn-ea"/>
                    <a:cs typeface="+mn-cs"/>
                  </a:defRPr>
                </a:lvl4pPr>
                <a:lvl5pPr marL="1828800" algn="ctr" rtl="0" fontAlgn="base">
                  <a:spcBef>
                    <a:spcPct val="0"/>
                  </a:spcBef>
                  <a:spcAft>
                    <a:spcPct val="0"/>
                  </a:spcAft>
                  <a:defRPr sz="2400" kern="1200">
                    <a:solidFill>
                      <a:schemeClr val="tx1"/>
                    </a:solidFill>
                    <a:latin typeface="Times New Roman" pitchFamily="18" charset="0"/>
                    <a:ea typeface="+mn-ea"/>
                    <a:cs typeface="+mn-cs"/>
                  </a:defRPr>
                </a:lvl5pPr>
                <a:lvl6pPr marL="2286000" algn="l" defTabSz="914400" rtl="0" eaLnBrk="1" latinLnBrk="0" hangingPunct="1">
                  <a:defRPr sz="2400" kern="1200">
                    <a:solidFill>
                      <a:schemeClr val="tx1"/>
                    </a:solidFill>
                    <a:latin typeface="Times New Roman" pitchFamily="18" charset="0"/>
                    <a:ea typeface="+mn-ea"/>
                    <a:cs typeface="+mn-cs"/>
                  </a:defRPr>
                </a:lvl6pPr>
                <a:lvl7pPr marL="2743200" algn="l" defTabSz="914400" rtl="0" eaLnBrk="1" latinLnBrk="0" hangingPunct="1">
                  <a:defRPr sz="2400" kern="1200">
                    <a:solidFill>
                      <a:schemeClr val="tx1"/>
                    </a:solidFill>
                    <a:latin typeface="Times New Roman" pitchFamily="18" charset="0"/>
                    <a:ea typeface="+mn-ea"/>
                    <a:cs typeface="+mn-cs"/>
                  </a:defRPr>
                </a:lvl7pPr>
                <a:lvl8pPr marL="3200400" algn="l" defTabSz="914400" rtl="0" eaLnBrk="1" latinLnBrk="0" hangingPunct="1">
                  <a:defRPr sz="2400" kern="1200">
                    <a:solidFill>
                      <a:schemeClr val="tx1"/>
                    </a:solidFill>
                    <a:latin typeface="Times New Roman" pitchFamily="18" charset="0"/>
                    <a:ea typeface="+mn-ea"/>
                    <a:cs typeface="+mn-cs"/>
                  </a:defRPr>
                </a:lvl8pPr>
                <a:lvl9pPr marL="3657600" algn="l" defTabSz="914400" rtl="0" eaLnBrk="1" latinLnBrk="0" hangingPunct="1">
                  <a:defRPr sz="2400" kern="1200">
                    <a:solidFill>
                      <a:schemeClr val="tx1"/>
                    </a:solidFill>
                    <a:latin typeface="Times New Roman" pitchFamily="18" charset="0"/>
                    <a:ea typeface="+mn-ea"/>
                    <a:cs typeface="+mn-cs"/>
                  </a:defRPr>
                </a:lvl9pPr>
              </a:lstStyle>
              <a:p>
                <a:r>
                  <a:rPr lang="da-DK" sz="1800" b="1" spc="70" baseline="0"/>
                  <a:t>UNCERTAINTY SHARES:</a:t>
                </a:r>
              </a:p>
            </xdr:txBody>
          </xdr:sp>
        </xdr:grpSp>
        <xdr:sp macro="" textlink="">
          <xdr:nvSpPr>
            <xdr:cNvPr id="13" name="Rectangle 12">
              <a:extLst>
                <a:ext uri="{FF2B5EF4-FFF2-40B4-BE49-F238E27FC236}">
                  <a16:creationId xmlns:a16="http://schemas.microsoft.com/office/drawing/2014/main" id="{BB2601B7-F083-B788-DD77-93D48F929584}"/>
                </a:ext>
              </a:extLst>
            </xdr:cNvPr>
            <xdr:cNvSpPr/>
          </xdr:nvSpPr>
          <xdr:spPr bwMode="auto">
            <a:xfrm>
              <a:off x="6581097" y="1939326"/>
              <a:ext cx="181612" cy="3024336"/>
            </a:xfrm>
            <a:prstGeom prst="rect">
              <a:avLst/>
            </a:prstGeom>
            <a:no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xdr:spPr>
          <xdr:txBody>
            <a:bodyPr vert="horz" wrap="square" lIns="91440" tIns="45720" rIns="91440" bIns="45720" numCol="1" rtlCol="0" anchor="t" anchorCtr="0" compatLnSpc="1">
              <a:prstTxWarp prst="textNoShape">
                <a:avLst/>
              </a:prstTxWarp>
            </a:bodyPr>
            <a:lstStyle>
              <a:defPPr>
                <a:defRPr lang="da-DK"/>
              </a:defPPr>
              <a:lvl1pPr algn="ctr" rtl="0" fontAlgn="base">
                <a:spcBef>
                  <a:spcPct val="0"/>
                </a:spcBef>
                <a:spcAft>
                  <a:spcPct val="0"/>
                </a:spcAft>
                <a:defRPr sz="2400" kern="1200">
                  <a:solidFill>
                    <a:schemeClr val="tx1"/>
                  </a:solidFill>
                  <a:latin typeface="Times New Roman" pitchFamily="18" charset="0"/>
                  <a:ea typeface="+mn-ea"/>
                  <a:cs typeface="+mn-cs"/>
                </a:defRPr>
              </a:lvl1pPr>
              <a:lvl2pPr marL="457200" algn="ctr" rtl="0" fontAlgn="base">
                <a:spcBef>
                  <a:spcPct val="0"/>
                </a:spcBef>
                <a:spcAft>
                  <a:spcPct val="0"/>
                </a:spcAft>
                <a:defRPr sz="2400" kern="1200">
                  <a:solidFill>
                    <a:schemeClr val="tx1"/>
                  </a:solidFill>
                  <a:latin typeface="Times New Roman" pitchFamily="18" charset="0"/>
                  <a:ea typeface="+mn-ea"/>
                  <a:cs typeface="+mn-cs"/>
                </a:defRPr>
              </a:lvl2pPr>
              <a:lvl3pPr marL="914400" algn="ctr" rtl="0" fontAlgn="base">
                <a:spcBef>
                  <a:spcPct val="0"/>
                </a:spcBef>
                <a:spcAft>
                  <a:spcPct val="0"/>
                </a:spcAft>
                <a:defRPr sz="2400" kern="1200">
                  <a:solidFill>
                    <a:schemeClr val="tx1"/>
                  </a:solidFill>
                  <a:latin typeface="Times New Roman" pitchFamily="18" charset="0"/>
                  <a:ea typeface="+mn-ea"/>
                  <a:cs typeface="+mn-cs"/>
                </a:defRPr>
              </a:lvl3pPr>
              <a:lvl4pPr marL="1371600" algn="ctr" rtl="0" fontAlgn="base">
                <a:spcBef>
                  <a:spcPct val="0"/>
                </a:spcBef>
                <a:spcAft>
                  <a:spcPct val="0"/>
                </a:spcAft>
                <a:defRPr sz="2400" kern="1200">
                  <a:solidFill>
                    <a:schemeClr val="tx1"/>
                  </a:solidFill>
                  <a:latin typeface="Times New Roman" pitchFamily="18" charset="0"/>
                  <a:ea typeface="+mn-ea"/>
                  <a:cs typeface="+mn-cs"/>
                </a:defRPr>
              </a:lvl4pPr>
              <a:lvl5pPr marL="1828800" algn="ctr" rtl="0" fontAlgn="base">
                <a:spcBef>
                  <a:spcPct val="0"/>
                </a:spcBef>
                <a:spcAft>
                  <a:spcPct val="0"/>
                </a:spcAft>
                <a:defRPr sz="2400" kern="1200">
                  <a:solidFill>
                    <a:schemeClr val="tx1"/>
                  </a:solidFill>
                  <a:latin typeface="Times New Roman" pitchFamily="18" charset="0"/>
                  <a:ea typeface="+mn-ea"/>
                  <a:cs typeface="+mn-cs"/>
                </a:defRPr>
              </a:lvl5pPr>
              <a:lvl6pPr marL="2286000" algn="l" defTabSz="914400" rtl="0" eaLnBrk="1" latinLnBrk="0" hangingPunct="1">
                <a:defRPr sz="2400" kern="1200">
                  <a:solidFill>
                    <a:schemeClr val="tx1"/>
                  </a:solidFill>
                  <a:latin typeface="Times New Roman" pitchFamily="18" charset="0"/>
                  <a:ea typeface="+mn-ea"/>
                  <a:cs typeface="+mn-cs"/>
                </a:defRPr>
              </a:lvl6pPr>
              <a:lvl7pPr marL="2743200" algn="l" defTabSz="914400" rtl="0" eaLnBrk="1" latinLnBrk="0" hangingPunct="1">
                <a:defRPr sz="2400" kern="1200">
                  <a:solidFill>
                    <a:schemeClr val="tx1"/>
                  </a:solidFill>
                  <a:latin typeface="Times New Roman" pitchFamily="18" charset="0"/>
                  <a:ea typeface="+mn-ea"/>
                  <a:cs typeface="+mn-cs"/>
                </a:defRPr>
              </a:lvl7pPr>
              <a:lvl8pPr marL="3200400" algn="l" defTabSz="914400" rtl="0" eaLnBrk="1" latinLnBrk="0" hangingPunct="1">
                <a:defRPr sz="2400" kern="1200">
                  <a:solidFill>
                    <a:schemeClr val="tx1"/>
                  </a:solidFill>
                  <a:latin typeface="Times New Roman" pitchFamily="18" charset="0"/>
                  <a:ea typeface="+mn-ea"/>
                  <a:cs typeface="+mn-cs"/>
                </a:defRPr>
              </a:lvl8pPr>
              <a:lvl9pPr marL="3657600" algn="l" defTabSz="914400" rtl="0" eaLnBrk="1" latinLnBrk="0" hangingPunct="1">
                <a:defRPr sz="2400" kern="1200">
                  <a:solidFill>
                    <a:schemeClr val="tx1"/>
                  </a:solidFill>
                  <a:latin typeface="Times New Roman" pitchFamily="18" charset="0"/>
                  <a:ea typeface="+mn-ea"/>
                  <a:cs typeface="+mn-cs"/>
                </a:defRPr>
              </a:lvl9pPr>
            </a:lstStyle>
            <a:p>
              <a:pPr marL="0" marR="0" indent="0" algn="ctr" defTabSz="914400" rtl="0" eaLnBrk="1" fontAlgn="base" latinLnBrk="0" hangingPunct="1">
                <a:lnSpc>
                  <a:spcPct val="100000"/>
                </a:lnSpc>
                <a:spcBef>
                  <a:spcPct val="0"/>
                </a:spcBef>
                <a:spcAft>
                  <a:spcPct val="0"/>
                </a:spcAft>
                <a:buClrTx/>
                <a:buSzTx/>
                <a:buFontTx/>
                <a:buNone/>
                <a:tabLst/>
              </a:pPr>
              <a:endParaRPr kumimoji="0" lang="da-DK" sz="2400" b="0" i="0" u="none" strike="noStrike" cap="none" normalizeH="0" baseline="0">
                <a:ln>
                  <a:noFill/>
                </a:ln>
                <a:solidFill>
                  <a:schemeClr val="tx1"/>
                </a:solidFill>
                <a:effectLst/>
                <a:latin typeface="Times New Roman" pitchFamily="18" charset="0"/>
              </a:endParaRPr>
            </a:p>
          </xdr:txBody>
        </xdr:sp>
      </xdr:grpSp>
      <xdr:sp macro="" textlink="">
        <xdr:nvSpPr>
          <xdr:cNvPr id="11" name="Rectangle 10">
            <a:extLst>
              <a:ext uri="{FF2B5EF4-FFF2-40B4-BE49-F238E27FC236}">
                <a16:creationId xmlns:a16="http://schemas.microsoft.com/office/drawing/2014/main" id="{836003D9-42DE-040A-7D95-44172462C91C}"/>
              </a:ext>
            </a:extLst>
          </xdr:cNvPr>
          <xdr:cNvSpPr/>
        </xdr:nvSpPr>
        <xdr:spPr>
          <a:xfrm>
            <a:off x="5663224" y="2600960"/>
            <a:ext cx="3167995" cy="3454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1200" i="1">
                <a:solidFill>
                  <a:schemeClr val="tx1"/>
                </a:solidFill>
              </a:rPr>
              <a:t>THE MAIN THINGS THAT CAN GO WRONG</a:t>
            </a:r>
            <a:endParaRPr lang="da-DK" sz="1200" b="1">
              <a:solidFill>
                <a:schemeClr val="tx1"/>
              </a:solidFill>
            </a:endParaRPr>
          </a:p>
        </xdr:txBody>
      </xdr:sp>
    </xdr:grpSp>
    <xdr:clientData/>
  </xdr:twoCellAnchor>
  <xdr:twoCellAnchor>
    <xdr:from>
      <xdr:col>1</xdr:col>
      <xdr:colOff>299721</xdr:colOff>
      <xdr:row>11</xdr:row>
      <xdr:rowOff>4599</xdr:rowOff>
    </xdr:from>
    <xdr:to>
      <xdr:col>5</xdr:col>
      <xdr:colOff>675640</xdr:colOff>
      <xdr:row>14</xdr:row>
      <xdr:rowOff>113174</xdr:rowOff>
    </xdr:to>
    <xdr:grpSp>
      <xdr:nvGrpSpPr>
        <xdr:cNvPr id="19" name="Group 18">
          <a:extLst>
            <a:ext uri="{FF2B5EF4-FFF2-40B4-BE49-F238E27FC236}">
              <a16:creationId xmlns:a16="http://schemas.microsoft.com/office/drawing/2014/main" id="{6F565F81-1D2E-4F1A-BAF7-5AF5C46D2B52}"/>
            </a:ext>
          </a:extLst>
        </xdr:cNvPr>
        <xdr:cNvGrpSpPr/>
      </xdr:nvGrpSpPr>
      <xdr:grpSpPr>
        <a:xfrm>
          <a:off x="814978" y="2276084"/>
          <a:ext cx="3177177" cy="768975"/>
          <a:chOff x="2685598" y="4153258"/>
          <a:chExt cx="4399753" cy="1060483"/>
        </a:xfrm>
      </xdr:grpSpPr>
      <xdr:pic>
        <xdr:nvPicPr>
          <xdr:cNvPr id="20" name="Picture 19">
            <a:extLst>
              <a:ext uri="{FF2B5EF4-FFF2-40B4-BE49-F238E27FC236}">
                <a16:creationId xmlns:a16="http://schemas.microsoft.com/office/drawing/2014/main" id="{E60936B1-0532-EF95-1FF3-35480A9085F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85598" y="4153258"/>
            <a:ext cx="1548598" cy="1060483"/>
          </a:xfrm>
          <a:prstGeom prst="rect">
            <a:avLst/>
          </a:prstGeom>
        </xdr:spPr>
      </xdr:pic>
      <xdr:sp macro="" textlink="">
        <xdr:nvSpPr>
          <xdr:cNvPr id="21" name="Rectangle 20">
            <a:extLst>
              <a:ext uri="{FF2B5EF4-FFF2-40B4-BE49-F238E27FC236}">
                <a16:creationId xmlns:a16="http://schemas.microsoft.com/office/drawing/2014/main" id="{2A300426-AA86-879E-BF83-79A39158B356}"/>
              </a:ext>
            </a:extLst>
          </xdr:cNvPr>
          <xdr:cNvSpPr/>
        </xdr:nvSpPr>
        <xdr:spPr>
          <a:xfrm>
            <a:off x="4417510" y="4376630"/>
            <a:ext cx="2667841" cy="7098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1200" b="1" i="1">
                <a:solidFill>
                  <a:schemeClr val="tx1"/>
                </a:solidFill>
              </a:rPr>
              <a:t>The Tool.</a:t>
            </a:r>
          </a:p>
          <a:p>
            <a:pPr algn="ctr"/>
            <a:r>
              <a:rPr lang="da-DK" sz="1200" b="1" i="1">
                <a:solidFill>
                  <a:schemeClr val="tx1"/>
                </a:solidFill>
              </a:rPr>
              <a:t>See futuraone.com</a:t>
            </a:r>
            <a:endParaRPr lang="da-DK" sz="1200" b="1">
              <a:solidFill>
                <a:schemeClr val="tx1"/>
              </a:solidFill>
            </a:endParaRPr>
          </a:p>
        </xdr:txBody>
      </xdr:sp>
    </xdr:grpSp>
    <xdr:clientData/>
  </xdr:twoCellAnchor>
  <xdr:twoCellAnchor editAs="oneCell">
    <xdr:from>
      <xdr:col>12</xdr:col>
      <xdr:colOff>5080</xdr:colOff>
      <xdr:row>2</xdr:row>
      <xdr:rowOff>30480</xdr:rowOff>
    </xdr:from>
    <xdr:to>
      <xdr:col>15</xdr:col>
      <xdr:colOff>104486</xdr:colOff>
      <xdr:row>5</xdr:row>
      <xdr:rowOff>157480</xdr:rowOff>
    </xdr:to>
    <xdr:pic>
      <xdr:nvPicPr>
        <xdr:cNvPr id="23" name="Picture 22" descr="A black and blue logo&#10;&#10;Description automatically generated">
          <a:extLst>
            <a:ext uri="{FF2B5EF4-FFF2-40B4-BE49-F238E27FC236}">
              <a16:creationId xmlns:a16="http://schemas.microsoft.com/office/drawing/2014/main" id="{A96278ED-19B1-2A42-B622-14A620172C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75720" y="538480"/>
          <a:ext cx="1928206" cy="721360"/>
        </a:xfrm>
        <a:prstGeom prst="rect">
          <a:avLst/>
        </a:prstGeom>
      </xdr:spPr>
    </xdr:pic>
    <xdr:clientData/>
  </xdr:twoCellAnchor>
  <xdr:twoCellAnchor editAs="oneCell">
    <xdr:from>
      <xdr:col>15</xdr:col>
      <xdr:colOff>259081</xdr:colOff>
      <xdr:row>13</xdr:row>
      <xdr:rowOff>96520</xdr:rowOff>
    </xdr:from>
    <xdr:to>
      <xdr:col>18</xdr:col>
      <xdr:colOff>432871</xdr:colOff>
      <xdr:row>40</xdr:row>
      <xdr:rowOff>106680</xdr:rowOff>
    </xdr:to>
    <xdr:pic>
      <xdr:nvPicPr>
        <xdr:cNvPr id="24" name="Picture 23" descr="A blue and white cover with red and white text&#10;&#10;Description automatically generated">
          <a:extLst>
            <a:ext uri="{FF2B5EF4-FFF2-40B4-BE49-F238E27FC236}">
              <a16:creationId xmlns:a16="http://schemas.microsoft.com/office/drawing/2014/main" id="{1F4E12F0-C6AE-4B16-AE06-82FE83464BEE}"/>
            </a:ext>
          </a:extLst>
        </xdr:cNvPr>
        <xdr:cNvPicPr>
          <a:picLocks noChangeAspect="1"/>
        </xdr:cNvPicPr>
      </xdr:nvPicPr>
      <xdr:blipFill>
        <a:blip xmlns:r="http://schemas.openxmlformats.org/officeDocument/2006/relationships" r:embed="rId6"/>
        <a:stretch>
          <a:fillRect/>
        </a:stretch>
      </xdr:blipFill>
      <xdr:spPr>
        <a:xfrm>
          <a:off x="13558521" y="2854960"/>
          <a:ext cx="2002590" cy="2778760"/>
        </a:xfrm>
        <a:prstGeom prst="rect">
          <a:avLst/>
        </a:prstGeom>
      </xdr:spPr>
    </xdr:pic>
    <xdr:clientData/>
  </xdr:twoCellAnchor>
  <xdr:twoCellAnchor editAs="oneCell">
    <xdr:from>
      <xdr:col>0</xdr:col>
      <xdr:colOff>457200</xdr:colOff>
      <xdr:row>16</xdr:row>
      <xdr:rowOff>181429</xdr:rowOff>
    </xdr:from>
    <xdr:to>
      <xdr:col>5</xdr:col>
      <xdr:colOff>677419</xdr:colOff>
      <xdr:row>39</xdr:row>
      <xdr:rowOff>129110</xdr:rowOff>
    </xdr:to>
    <xdr:pic>
      <xdr:nvPicPr>
        <xdr:cNvPr id="25" name="Picture 24">
          <a:hlinkClick xmlns:r="http://schemas.openxmlformats.org/officeDocument/2006/relationships" r:id="rId7"/>
          <a:extLst>
            <a:ext uri="{FF2B5EF4-FFF2-40B4-BE49-F238E27FC236}">
              <a16:creationId xmlns:a16="http://schemas.microsoft.com/office/drawing/2014/main" id="{F52F6DD0-5EF5-4FCE-8B2F-769BC8AFF71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57200" y="3505201"/>
          <a:ext cx="3536734" cy="1899852"/>
        </a:xfrm>
        <a:prstGeom prst="rect">
          <a:avLst/>
        </a:prstGeom>
        <a:ln>
          <a:solidFill>
            <a:srgbClr val="00206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1584325</xdr:colOff>
      <xdr:row>55</xdr:row>
      <xdr:rowOff>101600</xdr:rowOff>
    </xdr:from>
    <xdr:to>
      <xdr:col>13</xdr:col>
      <xdr:colOff>3565525</xdr:colOff>
      <xdr:row>68</xdr:row>
      <xdr:rowOff>198120</xdr:rowOff>
    </xdr:to>
    <xdr:sp macro="" textlink="">
      <xdr:nvSpPr>
        <xdr:cNvPr id="1031" name="Rectangle 7">
          <a:extLst>
            <a:ext uri="{FF2B5EF4-FFF2-40B4-BE49-F238E27FC236}">
              <a16:creationId xmlns:a16="http://schemas.microsoft.com/office/drawing/2014/main" id="{00000000-0008-0000-0100-000007040000}"/>
            </a:ext>
          </a:extLst>
        </xdr:cNvPr>
        <xdr:cNvSpPr>
          <a:spLocks noChangeArrowheads="1"/>
        </xdr:cNvSpPr>
      </xdr:nvSpPr>
      <xdr:spPr bwMode="auto">
        <a:xfrm>
          <a:off x="10306685" y="12562840"/>
          <a:ext cx="1981200" cy="100584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l" rtl="0">
            <a:defRPr sz="1000"/>
          </a:pPr>
          <a:r>
            <a:rPr lang="en-GB" sz="1200" b="1" i="0" u="none" strike="noStrike" baseline="0">
              <a:solidFill>
                <a:srgbClr val="000000"/>
              </a:solidFill>
              <a:latin typeface="Garamond"/>
            </a:rPr>
            <a:t>Note:</a:t>
          </a:r>
          <a:endParaRPr lang="en-GB" sz="1200" b="0" i="0" u="none" strike="noStrike" baseline="0">
            <a:solidFill>
              <a:srgbClr val="000000"/>
            </a:solidFill>
            <a:latin typeface="Garamond"/>
          </a:endParaRPr>
        </a:p>
        <a:p>
          <a:pPr algn="l" rtl="0">
            <a:defRPr sz="1000"/>
          </a:pPr>
          <a:r>
            <a:rPr lang="en-GB" sz="1000" b="0" i="0" u="none" strike="noStrike" baseline="0">
              <a:solidFill>
                <a:srgbClr val="000000"/>
              </a:solidFill>
              <a:latin typeface="Garamond"/>
            </a:rPr>
            <a:t>+/- 1,0  * Std equals 68,3 % C.I.</a:t>
          </a:r>
        </a:p>
        <a:p>
          <a:pPr algn="l" rtl="0">
            <a:defRPr sz="1000"/>
          </a:pPr>
          <a:r>
            <a:rPr lang="en-GB" sz="1000" b="0" i="0" u="none" strike="noStrike" baseline="0">
              <a:solidFill>
                <a:srgbClr val="000000"/>
              </a:solidFill>
              <a:latin typeface="Garamond"/>
            </a:rPr>
            <a:t>+/- 1,44* Std equals 85,0 % C.I.</a:t>
          </a:r>
        </a:p>
        <a:p>
          <a:pPr algn="l" rtl="0">
            <a:defRPr sz="1000"/>
          </a:pPr>
          <a:r>
            <a:rPr lang="en-GB" sz="1000" b="0" i="0" u="none" strike="noStrike" baseline="0">
              <a:solidFill>
                <a:srgbClr val="000000"/>
              </a:solidFill>
              <a:latin typeface="Garamond"/>
            </a:rPr>
            <a:t>+/- 2,0  * Std equals 95,5 % C.I.</a:t>
          </a:r>
        </a:p>
        <a:p>
          <a:pPr algn="l" rtl="0">
            <a:defRPr sz="1000"/>
          </a:pPr>
          <a:r>
            <a:rPr lang="en-GB" sz="1000" b="0" i="0" u="none" strike="noStrike" baseline="0">
              <a:solidFill>
                <a:srgbClr val="000000"/>
              </a:solidFill>
              <a:latin typeface="Garamond"/>
            </a:rPr>
            <a:t>+/- 2,5  * Std equals 98,8 % C.I.</a:t>
          </a:r>
        </a:p>
        <a:p>
          <a:pPr algn="l" rtl="0">
            <a:defRPr sz="1000"/>
          </a:pPr>
          <a:r>
            <a:rPr lang="en-GB" sz="1000" b="0" i="0" u="none" strike="noStrike" baseline="0">
              <a:solidFill>
                <a:srgbClr val="000000"/>
              </a:solidFill>
              <a:latin typeface="Garamond"/>
            </a:rPr>
            <a:t>+/- 3,0  * Std equals 99,7 % C.I.</a:t>
          </a:r>
        </a:p>
      </xdr:txBody>
    </xdr:sp>
    <xdr:clientData/>
  </xdr:twoCellAnchor>
  <xdr:twoCellAnchor editAs="oneCell">
    <xdr:from>
      <xdr:col>10</xdr:col>
      <xdr:colOff>94343</xdr:colOff>
      <xdr:row>83</xdr:row>
      <xdr:rowOff>190138</xdr:rowOff>
    </xdr:from>
    <xdr:to>
      <xdr:col>67</xdr:col>
      <xdr:colOff>64589</xdr:colOff>
      <xdr:row>105</xdr:row>
      <xdr:rowOff>29755</xdr:rowOff>
    </xdr:to>
    <xdr:graphicFrame macro="">
      <xdr:nvGraphicFramePr>
        <xdr:cNvPr id="16" name="Chart 15">
          <a:extLst>
            <a:ext uri="{FF2B5EF4-FFF2-40B4-BE49-F238E27FC236}">
              <a16:creationId xmlns:a16="http://schemas.microsoft.com/office/drawing/2014/main" id="{00000000-0008-0000-0100-000010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57</xdr:col>
      <xdr:colOff>71120</xdr:colOff>
      <xdr:row>24</xdr:row>
      <xdr:rowOff>106680</xdr:rowOff>
    </xdr:from>
    <xdr:to>
      <xdr:col>64</xdr:col>
      <xdr:colOff>274320</xdr:colOff>
      <xdr:row>28</xdr:row>
      <xdr:rowOff>76200</xdr:rowOff>
    </xdr:to>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18430240" y="5796280"/>
          <a:ext cx="4470400" cy="909320"/>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1"/>
            <a:t>Note</a:t>
          </a:r>
          <a:r>
            <a:rPr lang="da-DK" sz="1100"/>
            <a:t>:</a:t>
          </a:r>
          <a:endParaRPr lang="da-DK" sz="1100" b="0" i="0" u="none" strike="noStrike">
            <a:solidFill>
              <a:schemeClr val="dk1"/>
            </a:solidFill>
            <a:effectLst/>
            <a:latin typeface="+mn-lt"/>
            <a:ea typeface="+mn-ea"/>
            <a:cs typeface="+mn-cs"/>
          </a:endParaRPr>
        </a:p>
        <a:p>
          <a:r>
            <a:rPr lang="da-DK" sz="1100" b="0" i="0" u="none" strike="noStrike">
              <a:solidFill>
                <a:schemeClr val="dk1"/>
              </a:solidFill>
              <a:effectLst/>
              <a:latin typeface="+mn-lt"/>
              <a:ea typeface="+mn-ea"/>
              <a:cs typeface="+mn-cs"/>
            </a:rPr>
            <a:t>Choose</a:t>
          </a:r>
          <a:r>
            <a:rPr lang="da-DK" sz="1100" b="0" i="0" u="none" strike="noStrike" baseline="0">
              <a:solidFill>
                <a:schemeClr val="dk1"/>
              </a:solidFill>
              <a:effectLst/>
              <a:latin typeface="+mn-lt"/>
              <a:ea typeface="+mn-ea"/>
              <a:cs typeface="+mn-cs"/>
            </a:rPr>
            <a:t> de coloured P% elementer and decompose them into 2-4 sub elements.</a:t>
          </a:r>
        </a:p>
        <a:p>
          <a:endParaRPr lang="da-DK" sz="1100" b="0" i="0" u="none" strike="noStrike" baseline="0">
            <a:solidFill>
              <a:schemeClr val="dk1"/>
            </a:solidFill>
            <a:effectLst/>
            <a:latin typeface="+mn-lt"/>
            <a:ea typeface="+mn-ea"/>
            <a:cs typeface="+mn-cs"/>
          </a:endParaRPr>
        </a:p>
        <a:p>
          <a:r>
            <a:rPr lang="da-DK" sz="1100" b="0" i="0" u="none" strike="noStrike" baseline="0">
              <a:solidFill>
                <a:schemeClr val="dk1"/>
              </a:solidFill>
              <a:effectLst/>
              <a:latin typeface="+mn-lt"/>
              <a:ea typeface="+mn-ea"/>
              <a:cs typeface="+mn-cs"/>
            </a:rPr>
            <a:t>Make  hereafter nye estimations - only of these.</a:t>
          </a:r>
          <a:endParaRPr lang="da-DK" sz="1100"/>
        </a:p>
      </xdr:txBody>
    </xdr:sp>
    <xdr:clientData/>
  </xdr:twoCellAnchor>
  <xdr:twoCellAnchor editAs="oneCell">
    <xdr:from>
      <xdr:col>13</xdr:col>
      <xdr:colOff>304800</xdr:colOff>
      <xdr:row>71</xdr:row>
      <xdr:rowOff>127000</xdr:rowOff>
    </xdr:from>
    <xdr:to>
      <xdr:col>14</xdr:col>
      <xdr:colOff>398145</xdr:colOff>
      <xdr:row>75</xdr:row>
      <xdr:rowOff>193040</xdr:rowOff>
    </xdr:to>
    <xdr:sp macro="" textlink="">
      <xdr:nvSpPr>
        <xdr:cNvPr id="25" name="Rectangle 2">
          <a:extLst>
            <a:ext uri="{FF2B5EF4-FFF2-40B4-BE49-F238E27FC236}">
              <a16:creationId xmlns:a16="http://schemas.microsoft.com/office/drawing/2014/main" id="{00000000-0008-0000-0100-000019000000}"/>
            </a:ext>
          </a:extLst>
        </xdr:cNvPr>
        <xdr:cNvSpPr>
          <a:spLocks noChangeArrowheads="1"/>
        </xdr:cNvSpPr>
      </xdr:nvSpPr>
      <xdr:spPr bwMode="auto">
        <a:xfrm>
          <a:off x="9027160" y="14097000"/>
          <a:ext cx="3959225" cy="8686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l" rtl="0">
            <a:defRPr sz="1000"/>
          </a:pPr>
          <a:r>
            <a:rPr lang="en-GB" sz="1200" b="1" i="0" u="none" strike="noStrike" baseline="0">
              <a:solidFill>
                <a:srgbClr val="000000"/>
              </a:solidFill>
              <a:latin typeface="Garamond"/>
            </a:rPr>
            <a:t>Basic formulas </a:t>
          </a:r>
          <a:r>
            <a:rPr lang="en-GB" sz="1200" b="0" i="0" u="none" strike="noStrike" baseline="0">
              <a:solidFill>
                <a:srgbClr val="000000"/>
              </a:solidFill>
              <a:latin typeface="Garamond"/>
            </a:rPr>
            <a:t>(Task 'in')</a:t>
          </a:r>
          <a:r>
            <a:rPr lang="en-GB" sz="1200" b="1" i="0" u="none" strike="noStrike" baseline="0">
              <a:solidFill>
                <a:srgbClr val="000000"/>
              </a:solidFill>
              <a:latin typeface="Garamond"/>
            </a:rPr>
            <a:t>:</a:t>
          </a:r>
          <a:endParaRPr lang="en-GB" sz="1200" b="0" i="0" u="none" strike="noStrike" baseline="0">
            <a:solidFill>
              <a:srgbClr val="000000"/>
            </a:solidFill>
            <a:latin typeface="Garamond"/>
          </a:endParaRPr>
        </a:p>
        <a:p>
          <a:pPr algn="l" rtl="0">
            <a:defRPr sz="1000"/>
          </a:pPr>
          <a:r>
            <a:rPr lang="en-GB" sz="1200" b="0" i="0" u="none" strike="noStrike" baseline="0">
              <a:solidFill>
                <a:srgbClr val="000000"/>
              </a:solidFill>
              <a:latin typeface="Garamond"/>
            </a:rPr>
            <a:t>Mean[in]  = (Min[i] + 3*M.L.[i] + Max[i])/5</a:t>
          </a:r>
        </a:p>
        <a:p>
          <a:pPr algn="l" rtl="0">
            <a:defRPr sz="1000"/>
          </a:pPr>
          <a:r>
            <a:rPr lang="en-GB" sz="1200" b="0" i="0" u="none" strike="noStrike" baseline="0">
              <a:solidFill>
                <a:srgbClr val="000000"/>
              </a:solidFill>
              <a:latin typeface="Garamond"/>
            </a:rPr>
            <a:t>Std[i]        = (Max[i] - Min[i])/5;   Var[i] = Stdv[i] * Stdv[i]</a:t>
          </a:r>
        </a:p>
        <a:p>
          <a:pPr algn="l" rtl="0">
            <a:defRPr sz="1000"/>
          </a:pPr>
          <a:r>
            <a:rPr lang="en-GB" sz="1200" b="0" i="0" u="none" strike="noStrike" baseline="0">
              <a:solidFill>
                <a:srgbClr val="000000"/>
              </a:solidFill>
              <a:latin typeface="Garamond"/>
            </a:rPr>
            <a:t>Prio[i]      = Var[i]/∑(Var[i]);       P[i]% = Prio[i]*100/∑(P[i])</a:t>
          </a:r>
        </a:p>
      </xdr:txBody>
    </xdr:sp>
    <xdr:clientData/>
  </xdr:twoCellAnchor>
  <xdr:twoCellAnchor editAs="oneCell">
    <xdr:from>
      <xdr:col>0</xdr:col>
      <xdr:colOff>50800</xdr:colOff>
      <xdr:row>141</xdr:row>
      <xdr:rowOff>142240</xdr:rowOff>
    </xdr:from>
    <xdr:to>
      <xdr:col>13</xdr:col>
      <xdr:colOff>518160</xdr:colOff>
      <xdr:row>156</xdr:row>
      <xdr:rowOff>152400</xdr:rowOff>
    </xdr:to>
    <xdr:sp macro="" textlink="">
      <xdr:nvSpPr>
        <xdr:cNvPr id="26" name="Rectangle 3">
          <a:extLst>
            <a:ext uri="{FF2B5EF4-FFF2-40B4-BE49-F238E27FC236}">
              <a16:creationId xmlns:a16="http://schemas.microsoft.com/office/drawing/2014/main" id="{00000000-0008-0000-0100-00001A000000}"/>
            </a:ext>
          </a:extLst>
        </xdr:cNvPr>
        <xdr:cNvSpPr>
          <a:spLocks noChangeArrowheads="1"/>
        </xdr:cNvSpPr>
      </xdr:nvSpPr>
      <xdr:spPr bwMode="auto">
        <a:xfrm>
          <a:off x="50800" y="27249120"/>
          <a:ext cx="9189720" cy="10718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l" rtl="0">
            <a:defRPr sz="1000"/>
          </a:pPr>
          <a:r>
            <a:rPr lang="en-GB" sz="1400" b="1" i="0" u="none" strike="noStrike" baseline="0">
              <a:solidFill>
                <a:schemeClr val="tx1"/>
              </a:solidFill>
              <a:latin typeface="Garamond"/>
            </a:rPr>
            <a:t>Main assumption for calculations:</a:t>
          </a:r>
        </a:p>
        <a:p>
          <a:pPr algn="l" rtl="0">
            <a:defRPr sz="1000"/>
          </a:pPr>
          <a:r>
            <a:rPr lang="en-GB" sz="1400" b="0" i="0" u="none" strike="noStrike" baseline="0">
              <a:solidFill>
                <a:schemeClr val="tx1"/>
              </a:solidFill>
              <a:latin typeface="Garamond"/>
            </a:rPr>
            <a:t>It is assumed that the tasks and general Uncertainties are mutually independent and each other.</a:t>
          </a:r>
        </a:p>
        <a:p>
          <a:pPr algn="l" rtl="0">
            <a:defRPr sz="1000"/>
          </a:pPr>
          <a:r>
            <a:rPr lang="en-GB" sz="600" b="0" i="0" u="none" strike="noStrike" baseline="0">
              <a:solidFill>
                <a:schemeClr val="tx1"/>
              </a:solidFill>
              <a:latin typeface="Garamond"/>
            </a:rPr>
            <a:t>  </a:t>
          </a:r>
        </a:p>
        <a:p>
          <a:pPr algn="l" rtl="0">
            <a:defRPr sz="1000"/>
          </a:pPr>
          <a:r>
            <a:rPr lang="en-GB" sz="1400" b="0" i="0" u="none" strike="noStrike" baseline="0">
              <a:solidFill>
                <a:schemeClr val="tx1"/>
              </a:solidFill>
              <a:latin typeface="Garamond"/>
            </a:rPr>
            <a:t>In some cases this can not be satisfied. Hence you have to add some extra variance, e.g. adding an extra overall factor, despite it can be difficult to estimate the influence on the results.</a:t>
          </a:r>
        </a:p>
      </xdr:txBody>
    </xdr:sp>
    <xdr:clientData/>
  </xdr:twoCellAnchor>
  <xdr:twoCellAnchor editAs="oneCell">
    <xdr:from>
      <xdr:col>13</xdr:col>
      <xdr:colOff>10160</xdr:colOff>
      <xdr:row>2</xdr:row>
      <xdr:rowOff>187960</xdr:rowOff>
    </xdr:from>
    <xdr:to>
      <xdr:col>13</xdr:col>
      <xdr:colOff>1238653</xdr:colOff>
      <xdr:row>6</xdr:row>
      <xdr:rowOff>86360</xdr:rowOff>
    </xdr:to>
    <xdr:pic>
      <xdr:nvPicPr>
        <xdr:cNvPr id="15" name="Picture 14" descr="A yellow triangle with green and red lights&#10;&#10;Description automatically generated">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04400" y="731520"/>
          <a:ext cx="1228493" cy="889000"/>
        </a:xfrm>
        <a:prstGeom prst="rect">
          <a:avLst/>
        </a:prstGeom>
      </xdr:spPr>
    </xdr:pic>
    <xdr:clientData/>
  </xdr:twoCellAnchor>
  <xdr:twoCellAnchor editAs="oneCell">
    <xdr:from>
      <xdr:col>0</xdr:col>
      <xdr:colOff>91440</xdr:colOff>
      <xdr:row>122</xdr:row>
      <xdr:rowOff>147320</xdr:rowOff>
    </xdr:from>
    <xdr:to>
      <xdr:col>13</xdr:col>
      <xdr:colOff>492760</xdr:colOff>
      <xdr:row>132</xdr:row>
      <xdr:rowOff>127002</xdr:rowOff>
    </xdr:to>
    <xdr:sp macro="" textlink="">
      <xdr:nvSpPr>
        <xdr:cNvPr id="2" name="Rectangle 3">
          <a:extLst>
            <a:ext uri="{FF2B5EF4-FFF2-40B4-BE49-F238E27FC236}">
              <a16:creationId xmlns:a16="http://schemas.microsoft.com/office/drawing/2014/main" id="{89CAF4BE-3D66-4512-9450-F1E31F891100}"/>
            </a:ext>
          </a:extLst>
        </xdr:cNvPr>
        <xdr:cNvSpPr>
          <a:spLocks noChangeArrowheads="1"/>
        </xdr:cNvSpPr>
      </xdr:nvSpPr>
      <xdr:spPr bwMode="auto">
        <a:xfrm>
          <a:off x="91440" y="24257000"/>
          <a:ext cx="9123680" cy="1554480"/>
        </a:xfrm>
        <a:prstGeom prst="rect">
          <a:avLst/>
        </a:prstGeom>
        <a:solidFill>
          <a:schemeClr val="accent3">
            <a:lumMod val="60000"/>
            <a:lumOff val="4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l" rtl="0">
            <a:defRPr sz="1000"/>
          </a:pPr>
          <a:r>
            <a:rPr lang="en-GB" sz="1400" b="1" i="0" u="sng" strike="noStrike" baseline="0">
              <a:solidFill>
                <a:srgbClr val="000000"/>
              </a:solidFill>
              <a:latin typeface="Garamond"/>
            </a:rPr>
            <a:t>EFFECTIVE PROGRAM: FUTURA</a:t>
          </a:r>
        </a:p>
        <a:p>
          <a:pPr algn="l" rtl="0">
            <a:defRPr sz="1000"/>
          </a:pPr>
          <a:r>
            <a:rPr lang="en-GB" sz="1400" b="0" i="0" u="none" strike="noStrike" baseline="0">
              <a:solidFill>
                <a:srgbClr val="000000"/>
              </a:solidFill>
              <a:latin typeface="Garamond"/>
            </a:rPr>
            <a:t>The program has been developed for more than 20 years and supports the entire Successive Process, ensuring an effective estimation process and subsequent reporting from the analyses. The program is used for estimating tunnel and highway projects and other large complex projects in the public sector and the private sector.</a:t>
          </a:r>
        </a:p>
        <a:p>
          <a:pPr algn="l" rtl="0">
            <a:defRPr sz="1000"/>
          </a:pPr>
          <a:endParaRPr lang="en-GB" sz="1400" b="0" i="0" u="none" strike="noStrike" baseline="0">
            <a:solidFill>
              <a:srgbClr val="000000"/>
            </a:solidFill>
            <a:latin typeface="Garamond"/>
          </a:endParaRPr>
        </a:p>
        <a:p>
          <a:pPr algn="l" rtl="0">
            <a:defRPr sz="1000"/>
          </a:pPr>
          <a:r>
            <a:rPr lang="en-GB" sz="1400" b="0" i="0" u="none" strike="noStrike" baseline="0">
              <a:solidFill>
                <a:srgbClr val="000000"/>
              </a:solidFill>
              <a:latin typeface="Garamond"/>
            </a:rPr>
            <a:t>HKS-Consult is a distributor of FUTURA. Call on M +45 2629 8240 and get a free demonstration of the program. For example, on one of your projects.</a:t>
          </a:r>
        </a:p>
      </xdr:txBody>
    </xdr:sp>
    <xdr:clientData/>
  </xdr:twoCellAnchor>
  <xdr:twoCellAnchor editAs="oneCell">
    <xdr:from>
      <xdr:col>0</xdr:col>
      <xdr:colOff>76200</xdr:colOff>
      <xdr:row>133</xdr:row>
      <xdr:rowOff>142240</xdr:rowOff>
    </xdr:from>
    <xdr:to>
      <xdr:col>13</xdr:col>
      <xdr:colOff>492760</xdr:colOff>
      <xdr:row>139</xdr:row>
      <xdr:rowOff>147320</xdr:rowOff>
    </xdr:to>
    <xdr:sp macro="" textlink="">
      <xdr:nvSpPr>
        <xdr:cNvPr id="3" name="Rectangle 3">
          <a:extLst>
            <a:ext uri="{FF2B5EF4-FFF2-40B4-BE49-F238E27FC236}">
              <a16:creationId xmlns:a16="http://schemas.microsoft.com/office/drawing/2014/main" id="{61F5D4D0-FE16-466E-99CA-1B1CFF6AA261}"/>
            </a:ext>
          </a:extLst>
        </xdr:cNvPr>
        <xdr:cNvSpPr>
          <a:spLocks noChangeArrowheads="1"/>
        </xdr:cNvSpPr>
      </xdr:nvSpPr>
      <xdr:spPr bwMode="auto">
        <a:xfrm>
          <a:off x="76200" y="25989280"/>
          <a:ext cx="9138920" cy="949960"/>
        </a:xfrm>
        <a:prstGeom prst="rect">
          <a:avLst/>
        </a:prstGeom>
        <a:solidFill>
          <a:schemeClr val="accent3">
            <a:lumMod val="60000"/>
            <a:lumOff val="4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1440" tIns="45720" rIns="91440" bIns="45720" anchor="t" upright="1"/>
        <a:lstStyle/>
        <a:p>
          <a:pPr algn="l" rtl="0">
            <a:defRPr sz="1000"/>
          </a:pPr>
          <a:r>
            <a:rPr lang="en-GB" sz="1400" b="1" i="0" u="none" strike="noStrike" baseline="0">
              <a:solidFill>
                <a:srgbClr val="000000"/>
              </a:solidFill>
              <a:latin typeface="Garamond"/>
            </a:rPr>
            <a:t>Disclaimer:</a:t>
          </a:r>
        </a:p>
        <a:p>
          <a:pPr algn="l" rtl="0">
            <a:defRPr sz="1000"/>
          </a:pPr>
          <a:r>
            <a:rPr lang="en-GB" sz="1400" b="0" i="1" u="none" strike="noStrike" baseline="0">
              <a:solidFill>
                <a:srgbClr val="000000"/>
              </a:solidFill>
              <a:latin typeface="Garamond"/>
            </a:rPr>
            <a:t>The use of this toll is under own risk and the Author can under no circumstances being held responsible for any errors in this tool neither misuse of this tool, what so ever.</a:t>
          </a:r>
        </a:p>
        <a:p>
          <a:pPr algn="l" rtl="0">
            <a:defRPr sz="1000"/>
          </a:pPr>
          <a:r>
            <a:rPr lang="en-GB" sz="1400" b="0" i="1" u="none" strike="noStrike" baseline="0">
              <a:solidFill>
                <a:srgbClr val="000000"/>
              </a:solidFill>
              <a:latin typeface="Garamond"/>
            </a:rPr>
            <a:t>Always use at least one other simple model or thumbs of rules to check the results.</a:t>
          </a:r>
        </a:p>
      </xdr:txBody>
    </xdr:sp>
    <xdr:clientData/>
  </xdr:twoCellAnchor>
  <xdr:twoCellAnchor editAs="oneCell">
    <xdr:from>
      <xdr:col>13</xdr:col>
      <xdr:colOff>1328057</xdr:colOff>
      <xdr:row>2</xdr:row>
      <xdr:rowOff>65315</xdr:rowOff>
    </xdr:from>
    <xdr:to>
      <xdr:col>13</xdr:col>
      <xdr:colOff>3737429</xdr:colOff>
      <xdr:row>7</xdr:row>
      <xdr:rowOff>162145</xdr:rowOff>
    </xdr:to>
    <xdr:pic>
      <xdr:nvPicPr>
        <xdr:cNvPr id="4" name="Picture 3">
          <a:hlinkClick xmlns:r="http://schemas.openxmlformats.org/officeDocument/2006/relationships" r:id="rId3"/>
          <a:extLst>
            <a:ext uri="{FF2B5EF4-FFF2-40B4-BE49-F238E27FC236}">
              <a16:creationId xmlns:a16="http://schemas.microsoft.com/office/drawing/2014/main" id="{269D0FEA-9F32-4FD0-AF7E-C21BC0E06C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19657" y="602343"/>
          <a:ext cx="2409372" cy="1294259"/>
        </a:xfrm>
        <a:prstGeom prst="rect">
          <a:avLst/>
        </a:prstGeom>
        <a:ln>
          <a:solidFill>
            <a:srgbClr val="002060"/>
          </a:solidFill>
        </a:ln>
      </xdr:spPr>
    </xdr:pic>
    <xdr:clientData/>
  </xdr:twoCellAnchor>
</xdr:wsDr>
</file>

<file path=xl/drawings/drawing3.xml><?xml version="1.0" encoding="utf-8"?>
<c:userShapes xmlns:c="http://schemas.openxmlformats.org/drawingml/2006/chart">
  <cdr:relSizeAnchor xmlns:cdr="http://schemas.openxmlformats.org/drawingml/2006/chartDrawing">
    <cdr:from>
      <cdr:x>0.45461</cdr:x>
      <cdr:y>0.90262</cdr:y>
    </cdr:from>
    <cdr:to>
      <cdr:x>0.6428</cdr:x>
      <cdr:y>0.98711</cdr:y>
    </cdr:to>
    <cdr:sp macro="" textlink="Data!$E$188">
      <cdr:nvSpPr>
        <cdr:cNvPr id="3" name="TextBox 2"/>
        <cdr:cNvSpPr txBox="1"/>
      </cdr:nvSpPr>
      <cdr:spPr>
        <a:xfrm xmlns:a="http://schemas.openxmlformats.org/drawingml/2006/main">
          <a:off x="3129230" y="3787458"/>
          <a:ext cx="1295450" cy="354526"/>
        </a:xfrm>
        <a:prstGeom xmlns:a="http://schemas.openxmlformats.org/drawingml/2006/main" prst="rect">
          <a:avLst/>
        </a:prstGeom>
      </cdr:spPr>
      <cdr:txBody>
        <a:bodyPr xmlns:a="http://schemas.openxmlformats.org/drawingml/2006/main" vertOverflow="clip" wrap="square" tIns="0" bIns="0" rtlCol="0"/>
        <a:lstStyle xmlns:a="http://schemas.openxmlformats.org/drawingml/2006/main"/>
        <a:p xmlns:a="http://schemas.openxmlformats.org/drawingml/2006/main">
          <a:fld id="{4610BDAF-FDD6-4FE2-B98A-FEFF3167F789}" type="TxLink">
            <a:rPr lang="en-US" sz="800" b="1" i="0" u="none" strike="noStrike">
              <a:solidFill>
                <a:srgbClr val="000000"/>
              </a:solidFill>
              <a:latin typeface="Garamond"/>
            </a:rPr>
            <a:pPr/>
            <a:t>P(GU's):      75,8%
P(Tasks):     24,2%</a:t>
          </a:fld>
          <a:endParaRPr lang="da-DK" sz="800" b="1"/>
        </a:p>
      </cdr:txBody>
    </cdr:sp>
  </cdr:relSizeAnchor>
  <cdr:relSizeAnchor xmlns:cdr="http://schemas.openxmlformats.org/drawingml/2006/chartDrawing">
    <cdr:from>
      <cdr:x>0.51218</cdr:x>
      <cdr:y>2.38318E-7</cdr:y>
    </cdr:from>
    <cdr:to>
      <cdr:x>1</cdr:x>
      <cdr:y>0.18567</cdr:y>
    </cdr:to>
    <cdr:sp macro="" textlink="Data!$E$189">
      <cdr:nvSpPr>
        <cdr:cNvPr id="5" name="TextBox 1"/>
        <cdr:cNvSpPr txBox="1"/>
      </cdr:nvSpPr>
      <cdr:spPr>
        <a:xfrm xmlns:a="http://schemas.openxmlformats.org/drawingml/2006/main">
          <a:off x="3525520" y="1"/>
          <a:ext cx="3357880" cy="7790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3C32F37C-B7C3-443A-AAB3-448B7FB9ABD7}" type="TxLink">
            <a:rPr lang="en-US" sz="2000" b="1" i="0" u="none" strike="noStrike">
              <a:solidFill>
                <a:srgbClr val="0000FF"/>
              </a:solidFill>
              <a:latin typeface="Garamond"/>
              <a:cs typeface="Arial"/>
            </a:rPr>
            <a:pPr algn="r"/>
            <a:t>Construction - Scoping phase</a:t>
          </a:fld>
          <a:endParaRPr lang="da-DK" sz="2000" b="1">
            <a:solidFill>
              <a:srgbClr val="0000FF"/>
            </a:solidFill>
          </a:endParaRPr>
        </a:p>
      </cdr:txBody>
    </cdr:sp>
  </cdr:relSizeAnchor>
  <cdr:relSizeAnchor xmlns:cdr="http://schemas.openxmlformats.org/drawingml/2006/chartDrawing">
    <cdr:from>
      <cdr:x>0.61328</cdr:x>
      <cdr:y>0.90228</cdr:y>
    </cdr:from>
    <cdr:to>
      <cdr:x>0.97805</cdr:x>
      <cdr:y>0.99023</cdr:y>
    </cdr:to>
    <cdr:sp macro="" textlink="Data!$E$192">
      <cdr:nvSpPr>
        <cdr:cNvPr id="7" name="TextBox 1"/>
        <cdr:cNvSpPr txBox="1"/>
      </cdr:nvSpPr>
      <cdr:spPr>
        <a:xfrm xmlns:a="http://schemas.openxmlformats.org/drawingml/2006/main">
          <a:off x="4221480" y="3786039"/>
          <a:ext cx="2510829" cy="369045"/>
        </a:xfrm>
        <a:prstGeom xmlns:a="http://schemas.openxmlformats.org/drawingml/2006/main" prst="rect">
          <a:avLst/>
        </a:prstGeom>
      </cdr:spPr>
      <cdr:txBody>
        <a:bodyPr xmlns:a="http://schemas.openxmlformats.org/drawingml/2006/main" vertOverflow="clip" wrap="square" t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fld id="{1D1AA82F-CF6B-4F9D-A30D-A0EB9ECF5C65}" type="TxLink">
            <a:rPr lang="en-US" sz="800" b="1" i="0" u="none" strike="noStrike">
              <a:solidFill>
                <a:srgbClr val="000000"/>
              </a:solidFill>
              <a:latin typeface="Garamond"/>
              <a:ea typeface="+mn-ea"/>
              <a:cs typeface="+mn-cs"/>
            </a:rPr>
            <a:pPr marL="0" indent="0"/>
            <a:t>RESULT: 
Min= 342 Mean= 494 Max= 646 Min. &amp; GU's = 120,5</a:t>
          </a:fld>
          <a:endParaRPr lang="da-DK" sz="800" b="1" i="0" u="none" strike="noStrike">
            <a:solidFill>
              <a:srgbClr val="000000"/>
            </a:solidFill>
            <a:latin typeface="Garamond"/>
            <a:ea typeface="+mn-ea"/>
            <a:cs typeface="+mn-cs"/>
          </a:endParaRPr>
        </a:p>
      </cdr:txBody>
    </cdr:sp>
  </cdr:relSizeAnchor>
</c:userShapes>
</file>

<file path=xl/drawings/drawing4.xml><?xml version="1.0" encoding="utf-8"?>
<xdr:wsDr xmlns:xdr="http://schemas.openxmlformats.org/drawingml/2006/spreadsheetDrawing" xmlns:a="http://schemas.openxmlformats.org/drawingml/2006/main">
  <xdr:absoluteAnchor>
    <xdr:pos x="13431520" y="167640"/>
    <xdr:ext cx="6995160" cy="5557520"/>
    <xdr:graphicFrame macro="">
      <xdr:nvGraphicFramePr>
        <xdr:cNvPr id="2" name="Chart 1">
          <a:extLst>
            <a:ext uri="{FF2B5EF4-FFF2-40B4-BE49-F238E27FC236}">
              <a16:creationId xmlns:a16="http://schemas.microsoft.com/office/drawing/2014/main" id="{3FE37953-4BFD-4983-974B-94658EE392B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0.00906</cdr:x>
      <cdr:y>0.95263</cdr:y>
    </cdr:from>
    <cdr:to>
      <cdr:x>0.43518</cdr:x>
      <cdr:y>1</cdr:y>
    </cdr:to>
    <cdr:sp macro="" textlink="Plot!$C$65">
      <cdr:nvSpPr>
        <cdr:cNvPr id="2" name="TextBox 1">
          <a:extLst xmlns:a="http://schemas.openxmlformats.org/drawingml/2006/main">
            <a:ext uri="{FF2B5EF4-FFF2-40B4-BE49-F238E27FC236}">
              <a16:creationId xmlns:a16="http://schemas.microsoft.com/office/drawing/2014/main" id="{A298C3EB-03E9-3DF1-8226-F655623C3FE9}"/>
            </a:ext>
          </a:extLst>
        </cdr:cNvPr>
        <cdr:cNvSpPr txBox="1"/>
      </cdr:nvSpPr>
      <cdr:spPr>
        <a:xfrm xmlns:a="http://schemas.openxmlformats.org/drawingml/2006/main">
          <a:off x="76200" y="4473381"/>
          <a:ext cx="3582493" cy="22244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93E337FC-0B71-4E2B-BC0F-4E139A2BC437}" type="TxLink">
            <a:rPr lang="en-US" sz="800" b="0" i="0" u="none" strike="noStrike">
              <a:solidFill>
                <a:srgbClr val="000000"/>
              </a:solidFill>
              <a:latin typeface="Arial" panose="020B0604020202020204" pitchFamily="34" charset="0"/>
              <a:ea typeface="Calibri"/>
              <a:cs typeface="Arial" panose="020B0604020202020204" pitchFamily="34" charset="0"/>
            </a:rPr>
            <a:pPr algn="l"/>
            <a:t>early-quality-assuring-construction-project_2024-11-19a.xlsx</a:t>
          </a:fld>
          <a:endParaRPr lang="da-DK" sz="8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0.66488</cdr:x>
      <cdr:y>0.83507</cdr:y>
    </cdr:from>
    <cdr:to>
      <cdr:x>0.97195</cdr:x>
      <cdr:y>0.96373</cdr:y>
    </cdr:to>
    <cdr:sp macro="" textlink="Plot!$C$63">
      <cdr:nvSpPr>
        <cdr:cNvPr id="3" name="TextBox 1">
          <a:extLst xmlns:a="http://schemas.openxmlformats.org/drawingml/2006/main">
            <a:ext uri="{FF2B5EF4-FFF2-40B4-BE49-F238E27FC236}">
              <a16:creationId xmlns:a16="http://schemas.microsoft.com/office/drawing/2014/main" id="{C764A659-4F5A-721B-1050-5C48AB596759}"/>
            </a:ext>
          </a:extLst>
        </cdr:cNvPr>
        <cdr:cNvSpPr txBox="1"/>
      </cdr:nvSpPr>
      <cdr:spPr>
        <a:xfrm xmlns:a="http://schemas.openxmlformats.org/drawingml/2006/main">
          <a:off x="6182180" y="5075464"/>
          <a:ext cx="2855220" cy="781949"/>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D9CD847F-EB3F-415B-9207-6EC0C7B267F0}" type="TxLink">
            <a:rPr lang="en-US" sz="1100" b="1" i="0" u="none" strike="noStrike">
              <a:solidFill>
                <a:srgbClr val="000000"/>
              </a:solidFill>
              <a:latin typeface="Calibri"/>
              <a:ea typeface="Calibri"/>
              <a:cs typeface="Calibri"/>
            </a:rPr>
            <a:pPr algn="l"/>
            <a:t>General Uncertainties &amp; Tasks
General Uncertainties
TF(Consume)= 140,7%
TF(Not actual)= 100,0%</a:t>
          </a:fld>
          <a:endParaRPr lang="da-DK" sz="8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0.69626</cdr:x>
      <cdr:y>0.14406</cdr:y>
    </cdr:from>
    <cdr:to>
      <cdr:x>0.78569</cdr:x>
      <cdr:y>0.18767</cdr:y>
    </cdr:to>
    <cdr:sp macro="" textlink="Plot!$F$59">
      <cdr:nvSpPr>
        <cdr:cNvPr id="14" name="TextBox 1">
          <a:extLst xmlns:a="http://schemas.openxmlformats.org/drawingml/2006/main">
            <a:ext uri="{FF2B5EF4-FFF2-40B4-BE49-F238E27FC236}">
              <a16:creationId xmlns:a16="http://schemas.microsoft.com/office/drawing/2014/main" id="{5D65554C-7217-6435-1F5A-80797C7FA452}"/>
            </a:ext>
          </a:extLst>
        </cdr:cNvPr>
        <cdr:cNvSpPr txBox="1"/>
      </cdr:nvSpPr>
      <cdr:spPr>
        <a:xfrm xmlns:a="http://schemas.openxmlformats.org/drawingml/2006/main">
          <a:off x="6473934" y="875571"/>
          <a:ext cx="831540" cy="265056"/>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322ECA4-4FDD-4E1F-A570-FE091C3C8B79}" type="TxLink">
            <a:rPr lang="en-US" sz="1100" b="1" i="0" u="none" strike="noStrike">
              <a:solidFill>
                <a:srgbClr val="000000"/>
              </a:solidFill>
              <a:latin typeface="Calibri"/>
              <a:ea typeface="Calibri"/>
              <a:cs typeface="Calibri"/>
            </a:rPr>
            <a:pPr algn="ctr"/>
            <a:t>Consume</a:t>
          </a:fld>
          <a:endParaRPr lang="da-DK" sz="8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0.29403</cdr:x>
      <cdr:y>0.91376</cdr:y>
    </cdr:from>
    <cdr:to>
      <cdr:x>0.38346</cdr:x>
      <cdr:y>0.96025</cdr:y>
    </cdr:to>
    <cdr:sp macro="" textlink="Plot!$F$58">
      <cdr:nvSpPr>
        <cdr:cNvPr id="15" name="TextBox 1">
          <a:extLst xmlns:a="http://schemas.openxmlformats.org/drawingml/2006/main">
            <a:ext uri="{FF2B5EF4-FFF2-40B4-BE49-F238E27FC236}">
              <a16:creationId xmlns:a16="http://schemas.microsoft.com/office/drawing/2014/main" id="{38C29D27-ACC2-89AC-5E5E-55F592BC46DE}"/>
            </a:ext>
          </a:extLst>
        </cdr:cNvPr>
        <cdr:cNvSpPr txBox="1"/>
      </cdr:nvSpPr>
      <cdr:spPr>
        <a:xfrm xmlns:a="http://schemas.openxmlformats.org/drawingml/2006/main">
          <a:off x="2733914" y="5553679"/>
          <a:ext cx="831539" cy="282559"/>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lIns="0" tIns="0" rIns="0" bIns="0" rtlCol="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ctr"/>
          <a:fld id="{8859E935-D241-461C-B135-F29FE9067E1E}" type="TxLink">
            <a:rPr lang="en-US" sz="1100" b="1" i="0" u="none" strike="noStrike">
              <a:solidFill>
                <a:srgbClr val="000000"/>
              </a:solidFill>
              <a:latin typeface="Calibri"/>
              <a:ea typeface="Calibri"/>
              <a:cs typeface="Calibri"/>
            </a:rPr>
            <a:pPr marL="0" indent="0" algn="ctr"/>
            <a:t>Not actual</a:t>
          </a:fld>
          <a:endParaRPr lang="da-DK" sz="1100" b="1" i="0" u="none" strike="noStrike">
            <a:solidFill>
              <a:srgbClr val="000000"/>
            </a:solidFill>
            <a:latin typeface="Calibri"/>
            <a:ea typeface="Calibri"/>
            <a:cs typeface="Calibri"/>
          </a:endParaRPr>
        </a:p>
      </cdr:txBody>
    </cdr:sp>
  </cdr:relSizeAnchor>
  <cdr:relSizeAnchor xmlns:cdr="http://schemas.openxmlformats.org/drawingml/2006/chartDrawing">
    <cdr:from>
      <cdr:x>0.34487</cdr:x>
      <cdr:y>0.18305</cdr:y>
    </cdr:from>
    <cdr:to>
      <cdr:x>0.59281</cdr:x>
      <cdr:y>0.27345</cdr:y>
    </cdr:to>
    <cdr:grpSp>
      <cdr:nvGrpSpPr>
        <cdr:cNvPr id="9" name="Group 8">
          <a:extLst xmlns:a="http://schemas.openxmlformats.org/drawingml/2006/main">
            <a:ext uri="{FF2B5EF4-FFF2-40B4-BE49-F238E27FC236}">
              <a16:creationId xmlns:a16="http://schemas.microsoft.com/office/drawing/2014/main" id="{FC1261B2-C5D8-7C03-18AF-0288C6A45291}"/>
            </a:ext>
          </a:extLst>
        </cdr:cNvPr>
        <cdr:cNvGrpSpPr/>
      </cdr:nvGrpSpPr>
      <cdr:grpSpPr>
        <a:xfrm xmlns:a="http://schemas.openxmlformats.org/drawingml/2006/main">
          <a:off x="2412421" y="1017304"/>
          <a:ext cx="1734380" cy="502400"/>
          <a:chOff x="7815014" y="4022168"/>
          <a:chExt cx="2680325" cy="529512"/>
        </a:xfrm>
      </cdr:grpSpPr>
      <cdr:grpSp>
        <cdr:nvGrpSpPr>
          <cdr:cNvPr id="13" name="Group 12">
            <a:extLst xmlns:a="http://schemas.openxmlformats.org/drawingml/2006/main">
              <a:ext uri="{FF2B5EF4-FFF2-40B4-BE49-F238E27FC236}">
                <a16:creationId xmlns:a16="http://schemas.microsoft.com/office/drawing/2014/main" id="{BE73DC4A-8BF7-0896-7DB4-72A8DF7E5FD1}"/>
              </a:ext>
            </a:extLst>
          </cdr:cNvPr>
          <cdr:cNvGrpSpPr/>
        </cdr:nvGrpSpPr>
        <cdr:grpSpPr>
          <a:xfrm xmlns:a="http://schemas.openxmlformats.org/drawingml/2006/main">
            <a:off x="7815014" y="4022168"/>
            <a:ext cx="2680325" cy="509287"/>
            <a:chOff x="4280973" y="2951479"/>
            <a:chExt cx="2083632" cy="408306"/>
          </a:xfrm>
        </cdr:grpSpPr>
        <cdr:sp macro="" textlink="Plot!$C$56">
          <cdr:nvSpPr>
            <cdr:cNvPr id="4" name="TextBox 1">
              <a:extLst xmlns:a="http://schemas.openxmlformats.org/drawingml/2006/main">
                <a:ext uri="{FF2B5EF4-FFF2-40B4-BE49-F238E27FC236}">
                  <a16:creationId xmlns:a16="http://schemas.microsoft.com/office/drawing/2014/main" id="{BB774353-8524-27E1-6384-BC862BC4E9B4}"/>
                </a:ext>
              </a:extLst>
            </cdr:cNvPr>
            <cdr:cNvSpPr txBox="1"/>
          </cdr:nvSpPr>
          <cdr:spPr>
            <a:xfrm xmlns:a="http://schemas.openxmlformats.org/drawingml/2006/main">
              <a:off x="4280973" y="2951479"/>
              <a:ext cx="2083632" cy="408306"/>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tIns="10800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0ADB52D8-2AF4-4F22-B49D-EDD12E1ACA99}" type="TxLink">
                <a:rPr lang="en-US" sz="1100" b="0" i="0" u="none" strike="noStrike">
                  <a:solidFill>
                    <a:srgbClr val="000000"/>
                  </a:solidFill>
                  <a:latin typeface="Calibri"/>
                  <a:ea typeface="Calibri"/>
                  <a:cs typeface="Calibri"/>
                </a:rPr>
                <a:pPr algn="l"/>
                <a:t>General Uncertainties
Tasks</a:t>
              </a:fld>
              <a:endParaRPr lang="en-US" sz="1000" b="1" i="0" u="none" strike="noStrike">
                <a:solidFill>
                  <a:srgbClr val="000000"/>
                </a:solidFill>
                <a:latin typeface="Calibri"/>
                <a:ea typeface="Calibri"/>
                <a:cs typeface="Calibri"/>
              </a:endParaRPr>
            </a:p>
          </cdr:txBody>
        </cdr:sp>
        <cdr:cxnSp macro="">
          <cdr:nvCxnSpPr>
            <cdr:cNvPr id="6" name="Straight Connector 5">
              <a:extLst xmlns:a="http://schemas.openxmlformats.org/drawingml/2006/main">
                <a:ext uri="{FF2B5EF4-FFF2-40B4-BE49-F238E27FC236}">
                  <a16:creationId xmlns:a16="http://schemas.microsoft.com/office/drawing/2014/main" id="{348D4D87-CEBB-0778-F004-CD4CF881618D}"/>
                </a:ext>
              </a:extLst>
            </cdr:cNvPr>
            <cdr:cNvCxnSpPr/>
          </cdr:nvCxnSpPr>
          <cdr:spPr>
            <a:xfrm xmlns:a="http://schemas.openxmlformats.org/drawingml/2006/main">
              <a:off x="5680647" y="3101976"/>
              <a:ext cx="558228" cy="2540"/>
            </a:xfrm>
            <a:prstGeom xmlns:a="http://schemas.openxmlformats.org/drawingml/2006/main" prst="line">
              <a:avLst/>
            </a:prstGeom>
            <a:ln xmlns:a="http://schemas.openxmlformats.org/drawingml/2006/main" w="12700">
              <a:solidFill>
                <a:schemeClr val="accent2"/>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cxnSp macro="">
          <cdr:nvCxnSpPr>
            <cdr:cNvPr id="7" name="Straight Connector 6">
              <a:extLst xmlns:a="http://schemas.openxmlformats.org/drawingml/2006/main">
                <a:ext uri="{FF2B5EF4-FFF2-40B4-BE49-F238E27FC236}">
                  <a16:creationId xmlns:a16="http://schemas.microsoft.com/office/drawing/2014/main" id="{BE271A07-02AE-27C5-C20E-7D308F30E4B3}"/>
                </a:ext>
              </a:extLst>
            </cdr:cNvPr>
            <cdr:cNvCxnSpPr/>
          </cdr:nvCxnSpPr>
          <cdr:spPr>
            <a:xfrm xmlns:a="http://schemas.openxmlformats.org/drawingml/2006/main">
              <a:off x="5688330" y="3266441"/>
              <a:ext cx="561975" cy="1905"/>
            </a:xfrm>
            <a:prstGeom xmlns:a="http://schemas.openxmlformats.org/drawingml/2006/main" prst="line">
              <a:avLst/>
            </a:prstGeom>
            <a:ln xmlns:a="http://schemas.openxmlformats.org/drawingml/2006/main" w="12700">
              <a:solidFill>
                <a:srgbClr val="0000FF"/>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sp macro="" textlink="Plot!$K$55">
        <cdr:nvSpPr>
          <cdr:cNvPr id="8" name="TextBox 1">
            <a:extLst xmlns:a="http://schemas.openxmlformats.org/drawingml/2006/main">
              <a:ext uri="{FF2B5EF4-FFF2-40B4-BE49-F238E27FC236}">
                <a16:creationId xmlns:a16="http://schemas.microsoft.com/office/drawing/2014/main" id="{E3386B62-C5C2-02C0-A9B3-2DB6B586C88D}"/>
              </a:ext>
            </a:extLst>
          </cdr:cNvPr>
          <cdr:cNvSpPr txBox="1"/>
        </cdr:nvSpPr>
        <cdr:spPr>
          <a:xfrm xmlns:a="http://schemas.openxmlformats.org/drawingml/2006/main">
            <a:off x="8056880" y="4267200"/>
            <a:ext cx="2072640" cy="284480"/>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lIns="0" tIns="0" rIns="0" bIns="0" rtlCol="0" anchor="ctr" anchorCtr="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a:fld id="{68E947C3-9C30-42D0-A943-93DC3E414541}" type="TxLink">
              <a:rPr lang="en-US" sz="1100" b="0" i="0" u="none" strike="noStrike">
                <a:solidFill>
                  <a:srgbClr val="000000"/>
                </a:solidFill>
                <a:latin typeface="Calibri"/>
                <a:ea typeface="Calibri"/>
                <a:cs typeface="Calibri"/>
              </a:rPr>
              <a:pPr marL="0" indent="0" algn="l"/>
              <a:t> </a:t>
            </a:fld>
            <a:endParaRPr lang="da-DK" sz="1100" b="1" i="0" u="none" strike="noStrike">
              <a:solidFill>
                <a:srgbClr val="000000"/>
              </a:solidFill>
              <a:latin typeface="Calibri"/>
              <a:ea typeface="Calibri"/>
              <a:cs typeface="Calibri"/>
            </a:endParaRPr>
          </a:p>
        </cdr:txBody>
      </cdr:sp>
    </cdr:grpSp>
  </cdr:relSizeAnchor>
  <cdr:relSizeAnchor xmlns:cdr="http://schemas.openxmlformats.org/drawingml/2006/chartDrawing">
    <cdr:from>
      <cdr:x>0.02644</cdr:x>
      <cdr:y>0.01806</cdr:y>
    </cdr:from>
    <cdr:to>
      <cdr:x>0.17464</cdr:x>
      <cdr:y>0.10288</cdr:y>
    </cdr:to>
    <cdr:pic>
      <cdr:nvPicPr>
        <cdr:cNvPr id="10" name="Picture 9" descr="A black background with blue text&#10;&#10;Description automatically generated">
          <a:extLst xmlns:a="http://schemas.openxmlformats.org/drawingml/2006/main">
            <a:ext uri="{FF2B5EF4-FFF2-40B4-BE49-F238E27FC236}">
              <a16:creationId xmlns:a16="http://schemas.microsoft.com/office/drawing/2014/main" id="{1AD2AE5D-CE79-E2A1-8A04-67BCA09A2E6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213878" y="100369"/>
          <a:ext cx="1198815" cy="471389"/>
        </a:xfrm>
        <a:prstGeom xmlns:a="http://schemas.openxmlformats.org/drawingml/2006/main" prst="rect">
          <a:avLst/>
        </a:prstGeom>
      </cdr:spPr>
    </cdr:pic>
  </cdr:relSizeAnchor>
  <cdr:relSizeAnchor xmlns:cdr="http://schemas.openxmlformats.org/drawingml/2006/chartDrawing">
    <cdr:from>
      <cdr:x>0.46498</cdr:x>
      <cdr:y>0.03373</cdr:y>
    </cdr:from>
    <cdr:to>
      <cdr:x>0.99317</cdr:x>
      <cdr:y>0.13425</cdr:y>
    </cdr:to>
    <cdr:sp macro="" textlink="Data!$E$189">
      <cdr:nvSpPr>
        <cdr:cNvPr id="11" name="TextBox 1">
          <a:extLst xmlns:a="http://schemas.openxmlformats.org/drawingml/2006/main">
            <a:ext uri="{FF2B5EF4-FFF2-40B4-BE49-F238E27FC236}">
              <a16:creationId xmlns:a16="http://schemas.microsoft.com/office/drawing/2014/main" id="{56B7D2D1-DB18-5DEF-9A2C-44DF50BEAD23}"/>
            </a:ext>
          </a:extLst>
        </cdr:cNvPr>
        <cdr:cNvSpPr txBox="1"/>
      </cdr:nvSpPr>
      <cdr:spPr>
        <a:xfrm xmlns:a="http://schemas.openxmlformats.org/drawingml/2006/main">
          <a:off x="4323443" y="205014"/>
          <a:ext cx="4911271" cy="61094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D2D74324-5356-42CC-9506-D83E3D8FFC82}" type="TxLink">
            <a:rPr lang="en-US" sz="2000" b="1" i="0" u="none" strike="noStrike">
              <a:solidFill>
                <a:srgbClr val="0000FF"/>
              </a:solidFill>
              <a:latin typeface="Garamond"/>
              <a:cs typeface="Arial"/>
            </a:rPr>
            <a:pPr algn="r"/>
            <a:t>Construction - Scoping phase</a:t>
          </a:fld>
          <a:endParaRPr lang="da-DK" sz="2000" b="1">
            <a:solidFill>
              <a:srgbClr val="0000FF"/>
            </a:solidFill>
          </a:endParaRPr>
        </a:p>
      </cdr:txBody>
    </cdr:sp>
  </cdr:relSizeAnchor>
  <cdr:relSizeAnchor xmlns:cdr="http://schemas.openxmlformats.org/drawingml/2006/chartDrawing">
    <cdr:from>
      <cdr:x>0.75766</cdr:x>
      <cdr:y>0.00463</cdr:y>
    </cdr:from>
    <cdr:to>
      <cdr:x>0.98704</cdr:x>
      <cdr:y>0.04134</cdr:y>
    </cdr:to>
    <cdr:sp macro="" textlink="Data!$A$2">
      <cdr:nvSpPr>
        <cdr:cNvPr id="12" name="TextBox 1">
          <a:extLst xmlns:a="http://schemas.openxmlformats.org/drawingml/2006/main">
            <a:ext uri="{FF2B5EF4-FFF2-40B4-BE49-F238E27FC236}">
              <a16:creationId xmlns:a16="http://schemas.microsoft.com/office/drawing/2014/main" id="{30D5F497-DC56-1168-5E82-2CE85E5D0EFD}"/>
            </a:ext>
          </a:extLst>
        </cdr:cNvPr>
        <cdr:cNvSpPr txBox="1"/>
      </cdr:nvSpPr>
      <cdr:spPr>
        <a:xfrm xmlns:a="http://schemas.openxmlformats.org/drawingml/2006/main">
          <a:off x="7044872" y="28121"/>
          <a:ext cx="2132848" cy="2231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64238203-A753-410D-B00B-4A2389804DFF}" type="TxLink">
            <a:rPr lang="en-US" sz="600" b="0" i="0" u="none" strike="noStrike">
              <a:solidFill>
                <a:srgbClr val="000000"/>
              </a:solidFill>
              <a:latin typeface="Arial" panose="020B0604020202020204" pitchFamily="34" charset="0"/>
              <a:cs typeface="Arial" panose="020B0604020202020204" pitchFamily="34" charset="0"/>
            </a:rPr>
            <a:pPr algn="r"/>
            <a:t>Rev. 2024-01-17a</a:t>
          </a:fld>
          <a:endParaRPr lang="da-DK" sz="6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0.0627</cdr:x>
      <cdr:y>0.23913</cdr:y>
    </cdr:from>
    <cdr:to>
      <cdr:x>0.12608</cdr:x>
      <cdr:y>0.33084</cdr:y>
    </cdr:to>
    <cdr:pic>
      <cdr:nvPicPr>
        <cdr:cNvPr id="16" name="Picture 15" descr="j0278880[1]">
          <a:extLst xmlns:a="http://schemas.openxmlformats.org/drawingml/2006/main">
            <a:ext uri="{FF2B5EF4-FFF2-40B4-BE49-F238E27FC236}">
              <a16:creationId xmlns:a16="http://schemas.microsoft.com/office/drawing/2014/main" id="{532C3F9C-AB60-A92D-488A-280D17FF515F}"/>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2" cstate="print">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83024" y="1452335"/>
          <a:ext cx="589257" cy="55698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2</xdr:col>
      <xdr:colOff>32657</xdr:colOff>
      <xdr:row>2</xdr:row>
      <xdr:rowOff>32657</xdr:rowOff>
    </xdr:from>
    <xdr:to>
      <xdr:col>14</xdr:col>
      <xdr:colOff>484414</xdr:colOff>
      <xdr:row>36</xdr:row>
      <xdr:rowOff>83742</xdr:rowOff>
    </xdr:to>
    <xdr:pic>
      <xdr:nvPicPr>
        <xdr:cNvPr id="2" name="Picture 1">
          <a:extLst>
            <a:ext uri="{FF2B5EF4-FFF2-40B4-BE49-F238E27FC236}">
              <a16:creationId xmlns:a16="http://schemas.microsoft.com/office/drawing/2014/main" id="{B50E28E5-424C-50DD-F56D-DF093E607C1C}"/>
            </a:ext>
          </a:extLst>
        </xdr:cNvPr>
        <xdr:cNvPicPr>
          <a:picLocks noChangeAspect="1"/>
        </xdr:cNvPicPr>
      </xdr:nvPicPr>
      <xdr:blipFill>
        <a:blip xmlns:r="http://schemas.openxmlformats.org/officeDocument/2006/relationships" r:embed="rId1"/>
        <a:stretch>
          <a:fillRect/>
        </a:stretch>
      </xdr:blipFill>
      <xdr:spPr>
        <a:xfrm>
          <a:off x="1338943" y="348343"/>
          <a:ext cx="8289471" cy="5417742"/>
        </a:xfrm>
        <a:prstGeom prst="rect">
          <a:avLst/>
        </a:prstGeom>
      </xdr:spPr>
    </xdr:pic>
    <xdr:clientData/>
  </xdr:twoCellAnchor>
  <xdr:oneCellAnchor>
    <xdr:from>
      <xdr:col>8</xdr:col>
      <xdr:colOff>35760</xdr:colOff>
      <xdr:row>14</xdr:row>
      <xdr:rowOff>3466</xdr:rowOff>
    </xdr:from>
    <xdr:ext cx="3808094" cy="781111"/>
    <xdr:sp macro="" textlink="">
      <xdr:nvSpPr>
        <xdr:cNvPr id="3" name="Rectangle 2">
          <a:extLst>
            <a:ext uri="{FF2B5EF4-FFF2-40B4-BE49-F238E27FC236}">
              <a16:creationId xmlns:a16="http://schemas.microsoft.com/office/drawing/2014/main" id="{AF722A7C-8E4E-4823-8317-0A0BCD31A346}"/>
            </a:ext>
          </a:extLst>
        </xdr:cNvPr>
        <xdr:cNvSpPr/>
      </xdr:nvSpPr>
      <xdr:spPr>
        <a:xfrm rot="947975">
          <a:off x="5260903" y="2213266"/>
          <a:ext cx="3808094" cy="781111"/>
        </a:xfrm>
        <a:prstGeom prst="rect">
          <a:avLst/>
        </a:prstGeom>
        <a:noFill/>
      </xdr:spPr>
      <xdr:txBody>
        <a:bodyPr wrap="none" lIns="91440" tIns="45720" rIns="91440" bIns="45720">
          <a:spAutoFit/>
        </a:bodyPr>
        <a:lstStyle/>
        <a:p>
          <a:pPr algn="ctr"/>
          <a:r>
            <a:rPr lang="en-GB" sz="22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Request more information </a:t>
          </a:r>
        </a:p>
        <a:p>
          <a:pPr algn="ctr"/>
          <a:r>
            <a:rPr lang="en-GB" sz="22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for the full : </a:t>
          </a:r>
          <a:r>
            <a:rPr lang="en-GB" sz="2200" b="1"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rPr>
            <a:t>Mail@compilot.dk</a:t>
          </a:r>
          <a:endParaRPr lang="en-GB" sz="22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wsDr>
</file>

<file path=xl/drawings/drawing7.xml><?xml version="1.0" encoding="utf-8"?>
<xdr:wsDr xmlns:xdr="http://schemas.openxmlformats.org/drawingml/2006/spreadsheetDrawing" xmlns:a="http://schemas.openxmlformats.org/drawingml/2006/main">
  <xdr:absoluteAnchor>
    <xdr:pos x="0" y="0"/>
    <xdr:ext cx="9297390" cy="607126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0.00645</cdr:x>
      <cdr:y>0.9515</cdr:y>
    </cdr:from>
    <cdr:to>
      <cdr:x>0.39232</cdr:x>
      <cdr:y>0.98821</cdr:y>
    </cdr:to>
    <cdr:sp macro="" textlink="Data!$E$190">
      <cdr:nvSpPr>
        <cdr:cNvPr id="2" name="TextBox 1"/>
        <cdr:cNvSpPr txBox="1"/>
      </cdr:nvSpPr>
      <cdr:spPr>
        <a:xfrm xmlns:a="http://schemas.openxmlformats.org/drawingml/2006/main">
          <a:off x="59872" y="5765800"/>
          <a:ext cx="3584446" cy="222460"/>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146231B1-C89F-4F34-A2F6-9F97CE6D5C93}" type="TxLink">
            <a:rPr lang="en-US" sz="800" b="0" i="0" u="none" strike="noStrike">
              <a:solidFill>
                <a:srgbClr val="000000"/>
              </a:solidFill>
              <a:latin typeface="+mn-lt"/>
              <a:cs typeface="Arial"/>
            </a:rPr>
            <a:pPr algn="l"/>
            <a:t>early-quality-assuring-construction-project_2024-11-19a.xlsx</a:t>
          </a:fld>
          <a:endParaRPr lang="da-DK" sz="800" b="1">
            <a:latin typeface="+mn-lt"/>
          </a:endParaRPr>
        </a:p>
      </cdr:txBody>
    </cdr:sp>
  </cdr:relSizeAnchor>
  <cdr:relSizeAnchor xmlns:cdr="http://schemas.openxmlformats.org/drawingml/2006/chartDrawing">
    <cdr:from>
      <cdr:x>0.76186</cdr:x>
      <cdr:y>0.84003</cdr:y>
    </cdr:from>
    <cdr:to>
      <cdr:x>0.97287</cdr:x>
      <cdr:y>0.92031</cdr:y>
    </cdr:to>
    <cdr:sp macro="" textlink="Data!$E$188">
      <cdr:nvSpPr>
        <cdr:cNvPr id="4" name="TextBox 1"/>
        <cdr:cNvSpPr txBox="1"/>
      </cdr:nvSpPr>
      <cdr:spPr>
        <a:xfrm xmlns:a="http://schemas.openxmlformats.org/drawingml/2006/main">
          <a:off x="7080598" y="5099247"/>
          <a:ext cx="1961091" cy="487326"/>
        </a:xfrm>
        <a:prstGeom xmlns:a="http://schemas.openxmlformats.org/drawingml/2006/main" prst="rect">
          <a:avLst/>
        </a:prstGeom>
        <a:solidFill xmlns:a="http://schemas.openxmlformats.org/drawingml/2006/main">
          <a:schemeClr val="bg1">
            <a:lumMod val="95000"/>
          </a:schemeClr>
        </a:solidFill>
        <a:ln xmlns:a="http://schemas.openxmlformats.org/drawingml/2006/main">
          <a:solidFill>
            <a:srgbClr val="FF0000"/>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E4592517-05E4-446C-8D9F-DA250F5A88BB}" type="TxLink">
            <a:rPr lang="en-US" sz="1200" b="1" i="0" u="none" strike="noStrike">
              <a:solidFill>
                <a:srgbClr val="000000"/>
              </a:solidFill>
              <a:latin typeface="+mn-lt"/>
            </a:rPr>
            <a:pPr/>
            <a:t>P(GU's):      75,8%
P(Tasks):     24,2%</a:t>
          </a:fld>
          <a:endParaRPr lang="da-DK" sz="1200" b="1">
            <a:latin typeface="+mn-lt"/>
          </a:endParaRPr>
        </a:p>
      </cdr:txBody>
    </cdr:sp>
  </cdr:relSizeAnchor>
  <cdr:relSizeAnchor xmlns:cdr="http://schemas.openxmlformats.org/drawingml/2006/chartDrawing">
    <cdr:from>
      <cdr:x>0.31586</cdr:x>
      <cdr:y>0.03642</cdr:y>
    </cdr:from>
    <cdr:to>
      <cdr:x>0.98895</cdr:x>
      <cdr:y>0.13701</cdr:y>
    </cdr:to>
    <cdr:sp macro="" textlink="Data!$E$189">
      <cdr:nvSpPr>
        <cdr:cNvPr id="5" name="TextBox 1"/>
        <cdr:cNvSpPr txBox="1"/>
      </cdr:nvSpPr>
      <cdr:spPr>
        <a:xfrm xmlns:a="http://schemas.openxmlformats.org/drawingml/2006/main">
          <a:off x="2937244" y="221210"/>
          <a:ext cx="6259059" cy="61096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F8B80F78-DFAD-4EB1-9066-0F25B23F7858}" type="TxLink">
            <a:rPr lang="en-US" sz="1800" b="1" i="0" u="none" strike="noStrike">
              <a:solidFill>
                <a:schemeClr val="tx1"/>
              </a:solidFill>
              <a:latin typeface="+mn-lt"/>
              <a:cs typeface="Arial"/>
            </a:rPr>
            <a:pPr algn="r"/>
            <a:t>Construction - Scoping phase</a:t>
          </a:fld>
          <a:endParaRPr lang="da-DK" sz="1800" b="1">
            <a:solidFill>
              <a:schemeClr val="tx1"/>
            </a:solidFill>
            <a:latin typeface="+mn-lt"/>
          </a:endParaRPr>
        </a:p>
      </cdr:txBody>
    </cdr:sp>
  </cdr:relSizeAnchor>
  <cdr:relSizeAnchor xmlns:cdr="http://schemas.openxmlformats.org/drawingml/2006/chartDrawing">
    <cdr:from>
      <cdr:x>0.7703</cdr:x>
      <cdr:y>0.0024</cdr:y>
    </cdr:from>
    <cdr:to>
      <cdr:x>1</cdr:x>
      <cdr:y>0.03911</cdr:y>
    </cdr:to>
    <cdr:sp macro="" textlink="Data!$A$2">
      <cdr:nvSpPr>
        <cdr:cNvPr id="6" name="TextBox 1"/>
        <cdr:cNvSpPr txBox="1"/>
      </cdr:nvSpPr>
      <cdr:spPr>
        <a:xfrm xmlns:a="http://schemas.openxmlformats.org/drawingml/2006/main">
          <a:off x="7155419" y="14514"/>
          <a:ext cx="2133724" cy="22246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23E0F2DD-2158-4B89-A5E8-00B73C4C18B4}" type="TxLink">
            <a:rPr lang="en-US" sz="800" b="0" i="0" u="none" strike="noStrike">
              <a:solidFill>
                <a:srgbClr val="000000"/>
              </a:solidFill>
              <a:latin typeface="+mn-lt"/>
              <a:cs typeface="Arial"/>
            </a:rPr>
            <a:pPr algn="r"/>
            <a:t>Rev. 2024-01-17a</a:t>
          </a:fld>
          <a:endParaRPr lang="da-DK" sz="800" b="1">
            <a:latin typeface="+mn-lt"/>
          </a:endParaRPr>
        </a:p>
      </cdr:txBody>
    </cdr:sp>
  </cdr:relSizeAnchor>
  <cdr:relSizeAnchor xmlns:cdr="http://schemas.openxmlformats.org/drawingml/2006/chartDrawing">
    <cdr:from>
      <cdr:x>0.59036</cdr:x>
      <cdr:y>0.92384</cdr:y>
    </cdr:from>
    <cdr:to>
      <cdr:x>0.9752</cdr:x>
      <cdr:y>0.98284</cdr:y>
    </cdr:to>
    <cdr:sp macro="" textlink="Data!$E$192">
      <cdr:nvSpPr>
        <cdr:cNvPr id="7" name="TextBox 1"/>
        <cdr:cNvSpPr txBox="1"/>
      </cdr:nvSpPr>
      <cdr:spPr>
        <a:xfrm xmlns:a="http://schemas.openxmlformats.org/drawingml/2006/main">
          <a:off x="5490883" y="5611024"/>
          <a:ext cx="3579338" cy="358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2D438FBC-F46A-4385-AAFC-5478DAA6B7C6}" type="TxLink">
            <a:rPr lang="en-US" sz="1200" b="1" i="0" u="none" strike="noStrike">
              <a:solidFill>
                <a:schemeClr val="tx1"/>
              </a:solidFill>
              <a:latin typeface="+mn-lt"/>
              <a:cs typeface="Arial"/>
            </a:rPr>
            <a:pPr algn="l"/>
            <a:t>RESULT: 
Min= 342 Mean= 494 Max= 646 Min. &amp; GU's = 120,5</a:t>
          </a:fld>
          <a:endParaRPr lang="da-DK" sz="1200" b="1">
            <a:solidFill>
              <a:schemeClr val="tx1"/>
            </a:solidFill>
            <a:latin typeface="+mn-lt"/>
          </a:endParaRPr>
        </a:p>
      </cdr:txBody>
    </cdr:sp>
  </cdr:relSizeAnchor>
  <cdr:relSizeAnchor xmlns:cdr="http://schemas.openxmlformats.org/drawingml/2006/chartDrawing">
    <cdr:from>
      <cdr:x>0.53299</cdr:x>
      <cdr:y>0.08244</cdr:y>
    </cdr:from>
    <cdr:to>
      <cdr:x>0.76054</cdr:x>
      <cdr:y>0.13604</cdr:y>
    </cdr:to>
    <cdr:sp macro="" textlink="">
      <cdr:nvSpPr>
        <cdr:cNvPr id="20" name="TextBox 19"/>
        <cdr:cNvSpPr txBox="1"/>
      </cdr:nvSpPr>
      <cdr:spPr>
        <a:xfrm xmlns:a="http://schemas.openxmlformats.org/drawingml/2006/main">
          <a:off x="4957268" y="500696"/>
          <a:ext cx="2116416" cy="32554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l"/>
          <a:r>
            <a:rPr lang="en-GB" sz="1500" b="1"/>
            <a:t>Tornado Diagram</a:t>
          </a:r>
        </a:p>
      </cdr:txBody>
    </cdr:sp>
  </cdr:relSizeAnchor>
  <cdr:relSizeAnchor xmlns:cdr="http://schemas.openxmlformats.org/drawingml/2006/chartDrawing">
    <cdr:from>
      <cdr:x>0.76193</cdr:x>
      <cdr:y>0.78589</cdr:y>
    </cdr:from>
    <cdr:to>
      <cdr:x>0.97477</cdr:x>
      <cdr:y>0.83269</cdr:y>
    </cdr:to>
    <cdr:sp macro="" textlink="Data!$E$198">
      <cdr:nvSpPr>
        <cdr:cNvPr id="8" name="TextBox 1">
          <a:extLst xmlns:a="http://schemas.openxmlformats.org/drawingml/2006/main">
            <a:ext uri="{FF2B5EF4-FFF2-40B4-BE49-F238E27FC236}">
              <a16:creationId xmlns:a16="http://schemas.microsoft.com/office/drawing/2014/main" id="{237394F4-2DA1-74B5-99DA-CA486A97A3AB}"/>
            </a:ext>
          </a:extLst>
        </cdr:cNvPr>
        <cdr:cNvSpPr txBox="1"/>
      </cdr:nvSpPr>
      <cdr:spPr>
        <a:xfrm xmlns:a="http://schemas.openxmlformats.org/drawingml/2006/main">
          <a:off x="7086599" y="4773172"/>
          <a:ext cx="1979621" cy="284244"/>
        </a:xfrm>
        <a:prstGeom xmlns:a="http://schemas.openxmlformats.org/drawingml/2006/main" prst="rect">
          <a:avLst/>
        </a:prstGeom>
        <a:solidFill xmlns:a="http://schemas.openxmlformats.org/drawingml/2006/main">
          <a:schemeClr val="bg1"/>
        </a:solidFill>
        <a:ln xmlns:a="http://schemas.openxmlformats.org/drawingml/2006/main">
          <a:solidFill>
            <a:schemeClr val="accent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E4C51A8-60C2-4E05-A0BB-C059AA6A1D75}" type="TxLink">
            <a:rPr lang="en-US" sz="1100" b="1" i="0" u="none" strike="noStrike">
              <a:solidFill>
                <a:schemeClr val="tx1"/>
              </a:solidFill>
              <a:latin typeface="+mn-lt"/>
              <a:cs typeface="Arial"/>
            </a:rPr>
            <a:pPr algn="ctr"/>
            <a:t>Analyse Uncertainty= 13 %</a:t>
          </a:fld>
          <a:endParaRPr lang="da-DK" sz="2000" b="1">
            <a:solidFill>
              <a:schemeClr val="tx1"/>
            </a:solidFill>
            <a:latin typeface="+mn-lt"/>
          </a:endParaRPr>
        </a:p>
      </cdr:txBody>
    </cdr:sp>
  </cdr:relSizeAnchor>
  <cdr:relSizeAnchor xmlns:cdr="http://schemas.openxmlformats.org/drawingml/2006/chartDrawing">
    <cdr:from>
      <cdr:x>0.02136</cdr:x>
      <cdr:y>0.02829</cdr:y>
    </cdr:from>
    <cdr:to>
      <cdr:x>0.13806</cdr:x>
      <cdr:y>0.09515</cdr:y>
    </cdr:to>
    <cdr:pic>
      <cdr:nvPicPr>
        <cdr:cNvPr id="9" name="Picture 8">
          <a:extLst xmlns:a="http://schemas.openxmlformats.org/drawingml/2006/main">
            <a:ext uri="{FF2B5EF4-FFF2-40B4-BE49-F238E27FC236}">
              <a16:creationId xmlns:a16="http://schemas.microsoft.com/office/drawing/2014/main" id="{A96278ED-19B1-2A42-B622-14A620172C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98677" y="171833"/>
          <a:ext cx="1085413" cy="406080"/>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editAs="oneCell">
    <xdr:from>
      <xdr:col>3</xdr:col>
      <xdr:colOff>65314</xdr:colOff>
      <xdr:row>2</xdr:row>
      <xdr:rowOff>87085</xdr:rowOff>
    </xdr:from>
    <xdr:to>
      <xdr:col>16</xdr:col>
      <xdr:colOff>370114</xdr:colOff>
      <xdr:row>39</xdr:row>
      <xdr:rowOff>36211</xdr:rowOff>
    </xdr:to>
    <xdr:pic>
      <xdr:nvPicPr>
        <xdr:cNvPr id="2" name="Picture 1">
          <a:extLst>
            <a:ext uri="{FF2B5EF4-FFF2-40B4-BE49-F238E27FC236}">
              <a16:creationId xmlns:a16="http://schemas.microsoft.com/office/drawing/2014/main" id="{C1C0B027-A5C8-9CF9-C679-CEEAE9F8B8F4}"/>
            </a:ext>
          </a:extLst>
        </xdr:cNvPr>
        <xdr:cNvPicPr>
          <a:picLocks noChangeAspect="1"/>
        </xdr:cNvPicPr>
      </xdr:nvPicPr>
      <xdr:blipFill>
        <a:blip xmlns:r="http://schemas.openxmlformats.org/officeDocument/2006/relationships" r:embed="rId1"/>
        <a:stretch>
          <a:fillRect/>
        </a:stretch>
      </xdr:blipFill>
      <xdr:spPr>
        <a:xfrm>
          <a:off x="2024743" y="402771"/>
          <a:ext cx="8795657" cy="5789311"/>
        </a:xfrm>
        <a:prstGeom prst="rect">
          <a:avLst/>
        </a:prstGeom>
      </xdr:spPr>
    </xdr:pic>
    <xdr:clientData/>
  </xdr:twoCellAnchor>
  <xdr:oneCellAnchor>
    <xdr:from>
      <xdr:col>10</xdr:col>
      <xdr:colOff>337456</xdr:colOff>
      <xdr:row>13</xdr:row>
      <xdr:rowOff>21773</xdr:rowOff>
    </xdr:from>
    <xdr:ext cx="3808094" cy="781111"/>
    <xdr:sp macro="" textlink="">
      <xdr:nvSpPr>
        <xdr:cNvPr id="3" name="Rectangle 2">
          <a:extLst>
            <a:ext uri="{FF2B5EF4-FFF2-40B4-BE49-F238E27FC236}">
              <a16:creationId xmlns:a16="http://schemas.microsoft.com/office/drawing/2014/main" id="{6D711ACC-2B24-4A29-AA56-5261C43F7F08}"/>
            </a:ext>
          </a:extLst>
        </xdr:cNvPr>
        <xdr:cNvSpPr/>
      </xdr:nvSpPr>
      <xdr:spPr>
        <a:xfrm rot="947975">
          <a:off x="6868885" y="2073730"/>
          <a:ext cx="3808094" cy="781111"/>
        </a:xfrm>
        <a:prstGeom prst="rect">
          <a:avLst/>
        </a:prstGeom>
        <a:noFill/>
      </xdr:spPr>
      <xdr:txBody>
        <a:bodyPr wrap="none" lIns="91440" tIns="45720" rIns="91440" bIns="45720">
          <a:spAutoFit/>
        </a:bodyPr>
        <a:lstStyle/>
        <a:p>
          <a:pPr algn="ctr"/>
          <a:r>
            <a:rPr lang="en-GB" sz="22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Request more information </a:t>
          </a:r>
        </a:p>
        <a:p>
          <a:pPr algn="ctr"/>
          <a:r>
            <a:rPr lang="en-GB" sz="2200" b="1" cap="none" spc="0">
              <a:ln w="9525">
                <a:solidFill>
                  <a:schemeClr val="bg1"/>
                </a:solidFill>
                <a:prstDash val="solid"/>
              </a:ln>
              <a:solidFill>
                <a:schemeClr val="tx1"/>
              </a:solidFill>
              <a:effectLst>
                <a:outerShdw blurRad="12700" dist="38100" dir="2700000" algn="tl" rotWithShape="0">
                  <a:schemeClr val="bg1">
                    <a:lumMod val="50000"/>
                  </a:schemeClr>
                </a:outerShdw>
              </a:effectLst>
            </a:rPr>
            <a:t>for the full : </a:t>
          </a:r>
          <a:r>
            <a:rPr lang="en-GB" sz="2200" b="1" cap="none" spc="0" baseline="0">
              <a:ln w="9525">
                <a:solidFill>
                  <a:schemeClr val="bg1"/>
                </a:solidFill>
                <a:prstDash val="solid"/>
              </a:ln>
              <a:solidFill>
                <a:schemeClr val="tx1"/>
              </a:solidFill>
              <a:effectLst>
                <a:outerShdw blurRad="12700" dist="38100" dir="2700000" algn="tl" rotWithShape="0">
                  <a:schemeClr val="bg1">
                    <a:lumMod val="50000"/>
                  </a:schemeClr>
                </a:outerShdw>
              </a:effectLst>
            </a:rPr>
            <a:t>Mail@compilot.dk</a:t>
          </a:r>
          <a:endParaRPr lang="en-GB" sz="2200" b="1" cap="none" spc="0">
            <a:ln w="9525">
              <a:solidFill>
                <a:schemeClr val="bg1"/>
              </a:solidFill>
              <a:prstDash val="solid"/>
            </a:ln>
            <a:solidFill>
              <a:schemeClr val="tx1"/>
            </a:solidFill>
            <a:effectLst>
              <a:outerShdw blurRad="12700" dist="38100" dir="2700000" algn="tl" rotWithShape="0">
                <a:schemeClr val="bg1">
                  <a:lumMod val="50000"/>
                </a:schemeClr>
              </a:outerShdw>
            </a:effectLst>
          </a:endParaRPr>
        </a:p>
      </xdr:txBody>
    </xdr:sp>
    <xdr:clientData/>
  </xdr:oneCellAnchor>
</xdr:wsDr>
</file>

<file path=xl/drawings/drawing10.xml><?xml version="1.0" encoding="utf-8"?>
<xdr:wsDr xmlns:xdr="http://schemas.openxmlformats.org/drawingml/2006/spreadsheetDrawing" xmlns:a="http://schemas.openxmlformats.org/drawingml/2006/main">
  <xdr:absoluteAnchor>
    <xdr:pos x="0" y="0"/>
    <xdr:ext cx="9613263" cy="6656467"/>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0.74691</cdr:x>
      <cdr:y>0.7497</cdr:y>
    </cdr:from>
    <cdr:to>
      <cdr:x>0.94316</cdr:x>
      <cdr:y>0.84443</cdr:y>
    </cdr:to>
    <cdr:sp macro="" textlink="">
      <cdr:nvSpPr>
        <cdr:cNvPr id="2051" name="Text Box 3"/>
        <cdr:cNvSpPr txBox="1">
          <a:spLocks xmlns:a="http://schemas.openxmlformats.org/drawingml/2006/main" noChangeArrowheads="1"/>
        </cdr:cNvSpPr>
      </cdr:nvSpPr>
      <cdr:spPr bwMode="auto">
        <a:xfrm xmlns:a="http://schemas.openxmlformats.org/drawingml/2006/main">
          <a:off x="7179717" y="4987020"/>
          <a:ext cx="1886458" cy="630156"/>
        </a:xfrm>
        <a:prstGeom xmlns:a="http://schemas.openxmlformats.org/drawingml/2006/main" prst="rect">
          <a:avLst/>
        </a:prstGeom>
        <a:solidFill xmlns:a="http://schemas.openxmlformats.org/drawingml/2006/main">
          <a:srgbClr xmlns:mc="http://schemas.openxmlformats.org/markup-compatibility/2006" xmlns:a14="http://schemas.microsoft.com/office/drawing/2010/main" val="FFFFFF" mc:Ignorable="a14" a14:legacySpreadsheetColorIndex="65"/>
        </a:solidFill>
        <a:ln xmlns:a="http://schemas.openxmlformats.org/drawingml/2006/main" w="9525">
          <a:solidFill>
            <a:srgbClr xmlns:mc="http://schemas.openxmlformats.org/markup-compatibility/2006" xmlns:a14="http://schemas.microsoft.com/office/drawing/2010/main" val="000000" mc:Ignorable="a14" a14:legacySpreadsheetColorIndex="8"/>
          </a:solidFill>
          <a:miter lim="800000"/>
          <a:headEnd/>
          <a:tailEnd/>
        </a:ln>
      </cdr:spPr>
      <cdr:txBody>
        <a:bodyPr xmlns:a="http://schemas.openxmlformats.org/drawingml/2006/main" vertOverflow="clip" wrap="square" lIns="72000" tIns="36000" rIns="36000" bIns="36000" anchor="t" upright="1"/>
        <a:lstStyle xmlns:a="http://schemas.openxmlformats.org/drawingml/2006/main"/>
        <a:p xmlns:a="http://schemas.openxmlformats.org/drawingml/2006/main">
          <a:pPr rtl="0"/>
          <a:r>
            <a:rPr lang="en-GB" sz="1100" b="1" i="0" baseline="0">
              <a:effectLst/>
              <a:latin typeface="+mn-lt"/>
              <a:ea typeface="+mn-ea"/>
              <a:cs typeface="+mn-cs"/>
            </a:rPr>
            <a:t>Assumption:</a:t>
          </a:r>
          <a:r>
            <a:rPr lang="en-GB" sz="1100" b="0" i="0" baseline="0">
              <a:effectLst/>
              <a:latin typeface="+mn-lt"/>
              <a:ea typeface="+mn-ea"/>
              <a:cs typeface="+mn-cs"/>
            </a:rPr>
            <a:t> All elements are mutually independent of each other.</a:t>
          </a:r>
          <a:endParaRPr lang="da-DK" sz="1200">
            <a:effectLst/>
          </a:endParaRPr>
        </a:p>
      </cdr:txBody>
    </cdr:sp>
  </cdr:relSizeAnchor>
  <cdr:relSizeAnchor xmlns:cdr="http://schemas.openxmlformats.org/drawingml/2006/chartDrawing">
    <cdr:from>
      <cdr:x>0.15485</cdr:x>
      <cdr:y>0.22043</cdr:y>
    </cdr:from>
    <cdr:to>
      <cdr:x>0.28602</cdr:x>
      <cdr:y>0.26471</cdr:y>
    </cdr:to>
    <cdr:sp macro="" textlink="Data!$J$182">
      <cdr:nvSpPr>
        <cdr:cNvPr id="2056" name="Text Box 8"/>
        <cdr:cNvSpPr txBox="1">
          <a:spLocks xmlns:a="http://schemas.openxmlformats.org/drawingml/2006/main" noChangeArrowheads="1"/>
        </cdr:cNvSpPr>
      </cdr:nvSpPr>
      <cdr:spPr bwMode="auto">
        <a:xfrm xmlns:a="http://schemas.openxmlformats.org/drawingml/2006/main">
          <a:off x="1488495" y="1466294"/>
          <a:ext cx="1260884" cy="294544"/>
        </a:xfrm>
        <a:prstGeom xmlns:a="http://schemas.openxmlformats.org/drawingml/2006/main" prst="rect">
          <a:avLst/>
        </a:prstGeom>
        <a:solidFill xmlns:a="http://schemas.openxmlformats.org/drawingml/2006/main">
          <a:srgbClr val="92D050"/>
        </a:solidFill>
        <a:ln xmlns:a="http://schemas.openxmlformats.org/drawingml/2006/main" w="12700" algn="ctr">
          <a:solidFill>
            <a:srgbClr val="000000"/>
          </a:solidFill>
          <a:miter lim="800000"/>
          <a:headEnd/>
          <a:tailEnd/>
        </a:ln>
        <a:effectLst xmlns:a="http://schemas.openxmlformats.org/drawingml/2006/main"/>
      </cdr:spPr>
      <cdr:txBody>
        <a:bodyPr xmlns:a="http://schemas.openxmlformats.org/drawingml/2006/main" vertOverflow="clip" wrap="square" lIns="91440" tIns="45720" rIns="91440" bIns="45720" anchor="t" upright="1"/>
        <a:lstStyle xmlns:a="http://schemas.openxmlformats.org/drawingml/2006/main"/>
        <a:p xmlns:a="http://schemas.openxmlformats.org/drawingml/2006/main">
          <a:pPr algn="l" rtl="0">
            <a:defRPr sz="1000"/>
          </a:pPr>
          <a:fld id="{E1C45066-F719-4FCA-AB12-2911D106743D}" type="TxLink">
            <a:rPr lang="en-US" sz="1300" b="1" i="0" u="none" strike="noStrike" baseline="0">
              <a:solidFill>
                <a:schemeClr val="tx1"/>
              </a:solidFill>
              <a:latin typeface="Arial"/>
              <a:cs typeface="Arial"/>
            </a:rPr>
            <a:pPr algn="l" rtl="0">
              <a:defRPr sz="1000"/>
            </a:pPr>
            <a:t>P(85) Budget</a:t>
          </a:fld>
          <a:endParaRPr lang="en-GB" sz="1300" b="1" i="0" u="none" strike="noStrike" baseline="0">
            <a:solidFill>
              <a:schemeClr val="tx1"/>
            </a:solidFill>
            <a:latin typeface="Georgia"/>
          </a:endParaRPr>
        </a:p>
      </cdr:txBody>
    </cdr:sp>
  </cdr:relSizeAnchor>
  <cdr:relSizeAnchor xmlns:cdr="http://schemas.openxmlformats.org/drawingml/2006/chartDrawing">
    <cdr:from>
      <cdr:x>0.15907</cdr:x>
      <cdr:y>0.48274</cdr:y>
    </cdr:from>
    <cdr:to>
      <cdr:x>0.28709</cdr:x>
      <cdr:y>0.52864</cdr:y>
    </cdr:to>
    <cdr:sp macro="" textlink="Data!$J$184">
      <cdr:nvSpPr>
        <cdr:cNvPr id="2057" name="Text Box 9"/>
        <cdr:cNvSpPr txBox="1">
          <a:spLocks xmlns:a="http://schemas.openxmlformats.org/drawingml/2006/main" noChangeArrowheads="1"/>
        </cdr:cNvSpPr>
      </cdr:nvSpPr>
      <cdr:spPr bwMode="auto">
        <a:xfrm xmlns:a="http://schemas.openxmlformats.org/drawingml/2006/main">
          <a:off x="1529025" y="3211203"/>
          <a:ext cx="1230651" cy="305323"/>
        </a:xfrm>
        <a:prstGeom xmlns:a="http://schemas.openxmlformats.org/drawingml/2006/main" prst="rect">
          <a:avLst/>
        </a:prstGeom>
        <a:solidFill xmlns:a="http://schemas.openxmlformats.org/drawingml/2006/main">
          <a:schemeClr val="accent4">
            <a:lumMod val="75000"/>
          </a:schemeClr>
        </a:solidFill>
        <a:ln xmlns:a="http://schemas.openxmlformats.org/drawingml/2006/main" w="12700" algn="ctr">
          <a:solidFill>
            <a:srgbClr val="000000"/>
          </a:solidFill>
          <a:miter lim="800000"/>
          <a:headEnd/>
          <a:tailEnd/>
        </a:ln>
        <a:effectLst xmlns:a="http://schemas.openxmlformats.org/drawingml/2006/main"/>
      </cdr:spPr>
      <cdr:txBody>
        <a:bodyPr xmlns:a="http://schemas.openxmlformats.org/drawingml/2006/main" vertOverflow="clip" wrap="square" lIns="91440" tIns="45720" rIns="91440" bIns="45720" anchor="t" upright="1"/>
        <a:lstStyle xmlns:a="http://schemas.openxmlformats.org/drawingml/2006/main"/>
        <a:p xmlns:a="http://schemas.openxmlformats.org/drawingml/2006/main">
          <a:pPr algn="ctr" rtl="0">
            <a:defRPr sz="1000"/>
          </a:pPr>
          <a:fld id="{681C39A5-C80D-4A33-A8F5-CEDCDE96C723}" type="TxLink">
            <a:rPr lang="en-US" sz="1300" b="1" i="0" u="none" strike="noStrike" baseline="0">
              <a:solidFill>
                <a:schemeClr val="bg1"/>
              </a:solidFill>
              <a:latin typeface="Arial"/>
              <a:cs typeface="Arial"/>
            </a:rPr>
            <a:pPr algn="ctr" rtl="0">
              <a:defRPr sz="1000"/>
            </a:pPr>
            <a:t>P(50) Budget</a:t>
          </a:fld>
          <a:endParaRPr lang="en-GB" sz="1300" b="1" i="0" u="none" strike="noStrike" baseline="0">
            <a:solidFill>
              <a:schemeClr val="bg1"/>
            </a:solidFill>
            <a:latin typeface="Georgia"/>
          </a:endParaRPr>
        </a:p>
      </cdr:txBody>
    </cdr:sp>
  </cdr:relSizeAnchor>
  <cdr:relSizeAnchor xmlns:cdr="http://schemas.openxmlformats.org/drawingml/2006/chartDrawing">
    <cdr:from>
      <cdr:x>0.01124</cdr:x>
      <cdr:y>0.14085</cdr:y>
    </cdr:from>
    <cdr:to>
      <cdr:x>0.0729</cdr:x>
      <cdr:y>0.1834</cdr:y>
    </cdr:to>
    <cdr:sp macro="" textlink="">
      <cdr:nvSpPr>
        <cdr:cNvPr id="2" name="TextBox 1"/>
        <cdr:cNvSpPr txBox="1"/>
      </cdr:nvSpPr>
      <cdr:spPr>
        <a:xfrm xmlns:a="http://schemas.openxmlformats.org/drawingml/2006/main">
          <a:off x="107830" y="936923"/>
          <a:ext cx="591756" cy="283045"/>
        </a:xfrm>
        <a:prstGeom xmlns:a="http://schemas.openxmlformats.org/drawingml/2006/main" prst="rect">
          <a:avLst/>
        </a:prstGeom>
        <a:ln xmlns:a="http://schemas.openxmlformats.org/drawingml/2006/main" w="25400">
          <a:noFill/>
        </a:ln>
      </cdr:spPr>
      <cdr:txBody>
        <a:bodyPr xmlns:a="http://schemas.openxmlformats.org/drawingml/2006/main" vertOverflow="clip" wrap="square" rtlCol="0"/>
        <a:lstStyle xmlns:a="http://schemas.openxmlformats.org/drawingml/2006/main"/>
        <a:p xmlns:a="http://schemas.openxmlformats.org/drawingml/2006/main">
          <a:r>
            <a:rPr lang="en-GB" sz="1400" b="1" i="0" u="none" strike="noStrike" kern="1200" baseline="0">
              <a:solidFill>
                <a:sysClr val="windowText" lastClr="000000"/>
              </a:solidFill>
              <a:latin typeface="Garamond"/>
              <a:ea typeface="Garamond"/>
              <a:cs typeface="Garamond"/>
            </a:rPr>
            <a:t>P(ii)</a:t>
          </a:r>
        </a:p>
      </cdr:txBody>
    </cdr:sp>
  </cdr:relSizeAnchor>
  <cdr:relSizeAnchor xmlns:cdr="http://schemas.openxmlformats.org/drawingml/2006/chartDrawing">
    <cdr:from>
      <cdr:x>0</cdr:x>
      <cdr:y>0.96656</cdr:y>
    </cdr:from>
    <cdr:to>
      <cdr:x>0.37269</cdr:x>
      <cdr:y>1</cdr:y>
    </cdr:to>
    <cdr:sp macro="" textlink="Data!$E$190">
      <cdr:nvSpPr>
        <cdr:cNvPr id="14" name="TextBox 1"/>
        <cdr:cNvSpPr txBox="1"/>
      </cdr:nvSpPr>
      <cdr:spPr>
        <a:xfrm xmlns:a="http://schemas.openxmlformats.org/drawingml/2006/main">
          <a:off x="0" y="6429594"/>
          <a:ext cx="3584446" cy="22246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47151B91-AF42-4561-88C2-3AC4C296D6CA}" type="TxLink">
            <a:rPr lang="en-US" sz="800" b="0" i="0" u="none" strike="noStrike">
              <a:solidFill>
                <a:srgbClr val="000000"/>
              </a:solidFill>
              <a:latin typeface="Garamond" panose="02020404030301010803" pitchFamily="18" charset="0"/>
              <a:cs typeface="Arial"/>
            </a:rPr>
            <a:pPr algn="l"/>
            <a:t>early-quality-assuring-construction-project_2024-11-19a.xlsx</a:t>
          </a:fld>
          <a:endParaRPr lang="da-DK" sz="800" b="1">
            <a:latin typeface="Garamond" panose="02020404030301010803" pitchFamily="18" charset="0"/>
          </a:endParaRPr>
        </a:p>
      </cdr:txBody>
    </cdr:sp>
  </cdr:relSizeAnchor>
  <cdr:relSizeAnchor xmlns:cdr="http://schemas.openxmlformats.org/drawingml/2006/chartDrawing">
    <cdr:from>
      <cdr:x>0.79517</cdr:x>
      <cdr:y>0.93256</cdr:y>
    </cdr:from>
    <cdr:to>
      <cdr:x>0.97429</cdr:x>
      <cdr:y>0.99303</cdr:y>
    </cdr:to>
    <cdr:sp macro="" textlink="Data!$E$188">
      <cdr:nvSpPr>
        <cdr:cNvPr id="15" name="TextBox 1"/>
        <cdr:cNvSpPr txBox="1"/>
      </cdr:nvSpPr>
      <cdr:spPr>
        <a:xfrm xmlns:a="http://schemas.openxmlformats.org/drawingml/2006/main">
          <a:off x="7635450" y="6203466"/>
          <a:ext cx="1719952" cy="4022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26BBAAE-477A-464A-B105-489653E4645B}" type="TxLink">
            <a:rPr lang="en-US" sz="1050" b="1" i="0" u="none" strike="noStrike">
              <a:solidFill>
                <a:schemeClr val="tx1"/>
              </a:solidFill>
              <a:latin typeface="Garamond"/>
            </a:rPr>
            <a:pPr/>
            <a:t>P(GU's):      75,8%
P(Tasks):     24,2%</a:t>
          </a:fld>
          <a:endParaRPr lang="da-DK" sz="1050" b="1">
            <a:solidFill>
              <a:schemeClr val="tx1"/>
            </a:solidFill>
          </a:endParaRPr>
        </a:p>
      </cdr:txBody>
    </cdr:sp>
  </cdr:relSizeAnchor>
  <cdr:relSizeAnchor xmlns:cdr="http://schemas.openxmlformats.org/drawingml/2006/chartDrawing">
    <cdr:from>
      <cdr:x>0.76608</cdr:x>
      <cdr:y>0.00929</cdr:y>
    </cdr:from>
    <cdr:to>
      <cdr:x>0.9882</cdr:x>
      <cdr:y>0.04283</cdr:y>
    </cdr:to>
    <cdr:sp macro="" textlink="Data!$A$2">
      <cdr:nvSpPr>
        <cdr:cNvPr id="16" name="TextBox 1"/>
        <cdr:cNvSpPr txBox="1"/>
      </cdr:nvSpPr>
      <cdr:spPr>
        <a:xfrm xmlns:a="http://schemas.openxmlformats.org/drawingml/2006/main">
          <a:off x="7352152" y="61810"/>
          <a:ext cx="2131703" cy="2231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C62D364-AE8B-4EBC-A51F-83179AA727F7}" type="TxLink">
            <a:rPr lang="en-US" sz="600" b="0" i="0" u="none" strike="noStrike">
              <a:solidFill>
                <a:srgbClr val="000000"/>
              </a:solidFill>
              <a:latin typeface="Garamond" panose="02020404030301010803" pitchFamily="18" charset="0"/>
              <a:cs typeface="Arial"/>
            </a:rPr>
            <a:pPr algn="r"/>
            <a:t>Rev. 2024-01-17a</a:t>
          </a:fld>
          <a:endParaRPr lang="da-DK" sz="600" b="1">
            <a:latin typeface="Garamond" panose="02020404030301010803" pitchFamily="18" charset="0"/>
          </a:endParaRPr>
        </a:p>
      </cdr:txBody>
    </cdr:sp>
  </cdr:relSizeAnchor>
  <cdr:relSizeAnchor xmlns:cdr="http://schemas.openxmlformats.org/drawingml/2006/chartDrawing">
    <cdr:from>
      <cdr:x>0.34316</cdr:x>
      <cdr:y>0.93292</cdr:y>
    </cdr:from>
    <cdr:to>
      <cdr:x>0.75107</cdr:x>
      <cdr:y>0.98683</cdr:y>
    </cdr:to>
    <cdr:sp macro="" textlink="Data!$E$192">
      <cdr:nvSpPr>
        <cdr:cNvPr id="17" name="TextBox 1"/>
        <cdr:cNvSpPr txBox="1"/>
      </cdr:nvSpPr>
      <cdr:spPr>
        <a:xfrm xmlns:a="http://schemas.openxmlformats.org/drawingml/2006/main">
          <a:off x="3295135" y="6205834"/>
          <a:ext cx="3916812" cy="35861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F893C974-ADFE-48FF-8498-0AC87539643D}" type="TxLink">
            <a:rPr lang="en-US" sz="1200" b="1" i="0" u="none" strike="noStrike">
              <a:solidFill>
                <a:schemeClr val="tx1"/>
              </a:solidFill>
              <a:latin typeface="Garamond" panose="02020404030301010803" pitchFamily="18" charset="0"/>
              <a:cs typeface="Arial"/>
            </a:rPr>
            <a:pPr/>
            <a:t>RESULT: 
Min= 342 Mean= 494 Max= 646 Min. &amp; GU's = 120,5</a:t>
          </a:fld>
          <a:endParaRPr lang="da-DK" sz="1200" b="1">
            <a:solidFill>
              <a:schemeClr val="tx1"/>
            </a:solidFill>
            <a:latin typeface="Garamond" panose="02020404030301010803" pitchFamily="18" charset="0"/>
          </a:endParaRPr>
        </a:p>
      </cdr:txBody>
    </cdr:sp>
  </cdr:relSizeAnchor>
  <cdr:relSizeAnchor xmlns:cdr="http://schemas.openxmlformats.org/drawingml/2006/chartDrawing">
    <cdr:from>
      <cdr:x>0.53375</cdr:x>
      <cdr:y>0.04323</cdr:y>
    </cdr:from>
    <cdr:to>
      <cdr:x>0.97689</cdr:x>
      <cdr:y>0.11689</cdr:y>
    </cdr:to>
    <cdr:sp macro="" textlink="Data!$E$189">
      <cdr:nvSpPr>
        <cdr:cNvPr id="18" name="TextBox 1"/>
        <cdr:cNvSpPr txBox="1"/>
      </cdr:nvSpPr>
      <cdr:spPr>
        <a:xfrm xmlns:a="http://schemas.openxmlformats.org/drawingml/2006/main">
          <a:off x="5125198" y="287567"/>
          <a:ext cx="4255132" cy="4899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006A3A37-7368-4F5E-95E6-90AFCAF68766}" type="TxLink">
            <a:rPr lang="en-US" sz="2000" b="1" i="0" u="none" strike="noStrike">
              <a:solidFill>
                <a:schemeClr val="tx1"/>
              </a:solidFill>
              <a:latin typeface="Garamond" panose="02020404030301010803" pitchFamily="18" charset="0"/>
              <a:cs typeface="Arial"/>
            </a:rPr>
            <a:pPr algn="r"/>
            <a:t>Construction - Scoping phase</a:t>
          </a:fld>
          <a:endParaRPr lang="da-DK" sz="2000" b="1">
            <a:solidFill>
              <a:schemeClr val="tx1"/>
            </a:solidFill>
            <a:latin typeface="Garamond" panose="02020404030301010803" pitchFamily="18" charset="0"/>
          </a:endParaRPr>
        </a:p>
      </cdr:txBody>
    </cdr:sp>
  </cdr:relSizeAnchor>
  <cdr:relSizeAnchor xmlns:cdr="http://schemas.openxmlformats.org/drawingml/2006/chartDrawing">
    <cdr:from>
      <cdr:x>0.15551</cdr:x>
      <cdr:y>0.13767</cdr:y>
    </cdr:from>
    <cdr:to>
      <cdr:x>0.2887</cdr:x>
      <cdr:y>0.18111</cdr:y>
    </cdr:to>
    <cdr:sp macro="" textlink="Data!$J$183">
      <cdr:nvSpPr>
        <cdr:cNvPr id="21" name="Text Box 8"/>
        <cdr:cNvSpPr txBox="1">
          <a:spLocks xmlns:a="http://schemas.openxmlformats.org/drawingml/2006/main" noChangeArrowheads="1"/>
        </cdr:cNvSpPr>
      </cdr:nvSpPr>
      <cdr:spPr bwMode="auto">
        <a:xfrm xmlns:a="http://schemas.openxmlformats.org/drawingml/2006/main">
          <a:off x="1494892" y="915777"/>
          <a:ext cx="1280230" cy="289007"/>
        </a:xfrm>
        <a:prstGeom xmlns:a="http://schemas.openxmlformats.org/drawingml/2006/main" prst="rect">
          <a:avLst/>
        </a:prstGeom>
        <a:solidFill xmlns:a="http://schemas.openxmlformats.org/drawingml/2006/main">
          <a:srgbClr val="C00000"/>
        </a:solidFill>
        <a:ln xmlns:a="http://schemas.openxmlformats.org/drawingml/2006/main" w="12700" algn="ctr">
          <a:solidFill>
            <a:srgbClr val="000000"/>
          </a:solidFill>
          <a:miter lim="800000"/>
          <a:headEnd/>
          <a:tailEnd/>
        </a:ln>
        <a:effectLst xmlns:a="http://schemas.openxmlformats.org/drawingml/2006/main"/>
      </cdr:spPr>
      <cdr:txBody>
        <a:bodyPr xmlns:a="http://schemas.openxmlformats.org/drawingml/2006/main" wrap="square" lIns="91440" tIns="45720" rIns="91440" bIns="4572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fld id="{7568D37E-4497-494C-BBEF-221AD8B26D7F}" type="TxLink">
            <a:rPr lang="en-US" sz="1300" b="1" i="0" u="none" strike="noStrike" baseline="0">
              <a:solidFill>
                <a:schemeClr val="bg1"/>
              </a:solidFill>
              <a:latin typeface="Arial"/>
              <a:cs typeface="Arial"/>
            </a:rPr>
            <a:pPr algn="l" rtl="0">
              <a:defRPr sz="1000"/>
            </a:pPr>
            <a:t>P(95) Budget</a:t>
          </a:fld>
          <a:endParaRPr lang="en-GB" sz="1300" b="1" i="0" u="none" strike="noStrike" baseline="0">
            <a:solidFill>
              <a:schemeClr val="bg1"/>
            </a:solidFill>
            <a:latin typeface="Georgia"/>
          </a:endParaRPr>
        </a:p>
      </cdr:txBody>
    </cdr:sp>
  </cdr:relSizeAnchor>
  <cdr:relSizeAnchor xmlns:cdr="http://schemas.openxmlformats.org/drawingml/2006/chartDrawing">
    <cdr:from>
      <cdr:x>0.74719</cdr:x>
      <cdr:y>0.70191</cdr:y>
    </cdr:from>
    <cdr:to>
      <cdr:x>0.94319</cdr:x>
      <cdr:y>0.73762</cdr:y>
    </cdr:to>
    <cdr:sp macro="" textlink="Data!$E$198">
      <cdr:nvSpPr>
        <cdr:cNvPr id="3" name="TextBox 1">
          <a:extLst xmlns:a="http://schemas.openxmlformats.org/drawingml/2006/main">
            <a:ext uri="{FF2B5EF4-FFF2-40B4-BE49-F238E27FC236}">
              <a16:creationId xmlns:a16="http://schemas.microsoft.com/office/drawing/2014/main" id="{18F98728-DD70-DAAA-0EA4-87EB7C6B66E9}"/>
            </a:ext>
          </a:extLst>
        </cdr:cNvPr>
        <cdr:cNvSpPr txBox="1"/>
      </cdr:nvSpPr>
      <cdr:spPr>
        <a:xfrm xmlns:a="http://schemas.openxmlformats.org/drawingml/2006/main">
          <a:off x="7182365" y="4669143"/>
          <a:ext cx="1884074" cy="237519"/>
        </a:xfrm>
        <a:prstGeom xmlns:a="http://schemas.openxmlformats.org/drawingml/2006/main" prst="rect">
          <a:avLst/>
        </a:prstGeom>
        <a:solidFill xmlns:a="http://schemas.openxmlformats.org/drawingml/2006/main">
          <a:schemeClr val="bg1"/>
        </a:solidFill>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BD3B2896-EB35-4FF3-9EEB-F8D9079E6581}" type="TxLink">
            <a:rPr lang="en-US" sz="1100" b="0" i="0" u="none" strike="noStrike">
              <a:solidFill>
                <a:schemeClr val="tx1"/>
              </a:solidFill>
              <a:latin typeface="Arial"/>
              <a:cs typeface="Arial"/>
            </a:rPr>
            <a:pPr algn="r"/>
            <a:t>Analyse Uncertainty= 13 %</a:t>
          </a:fld>
          <a:endParaRPr lang="da-DK" sz="2000" b="0">
            <a:solidFill>
              <a:schemeClr val="tx1"/>
            </a:solidFill>
          </a:endParaRPr>
        </a:p>
      </cdr:txBody>
    </cdr:sp>
  </cdr:relSizeAnchor>
  <cdr:relSizeAnchor xmlns:cdr="http://schemas.openxmlformats.org/drawingml/2006/chartDrawing">
    <cdr:from>
      <cdr:x>0.0235</cdr:x>
      <cdr:y>0.02729</cdr:y>
    </cdr:from>
    <cdr:to>
      <cdr:x>0.14301</cdr:x>
      <cdr:y>0.0919</cdr:y>
    </cdr:to>
    <cdr:pic>
      <cdr:nvPicPr>
        <cdr:cNvPr id="7" name="Picture 6">
          <a:extLst xmlns:a="http://schemas.openxmlformats.org/drawingml/2006/main">
            <a:ext uri="{FF2B5EF4-FFF2-40B4-BE49-F238E27FC236}">
              <a16:creationId xmlns:a16="http://schemas.microsoft.com/office/drawing/2014/main" id="{A96278ED-19B1-2A42-B622-14A620172C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25854" y="181532"/>
          <a:ext cx="1148835" cy="429790"/>
        </a:xfrm>
        <a:prstGeom xmlns:a="http://schemas.openxmlformats.org/drawingml/2006/main" prst="rect">
          <a:avLst/>
        </a:prstGeom>
      </cdr:spPr>
    </cdr:pic>
  </cdr:relSizeAnchor>
</c:userShapes>
</file>

<file path=xl/drawings/drawing12.xml><?xml version="1.0" encoding="utf-8"?>
<xdr:wsDr xmlns:xdr="http://schemas.openxmlformats.org/drawingml/2006/spreadsheetDrawing" xmlns:a="http://schemas.openxmlformats.org/drawingml/2006/main">
  <xdr:absoluteAnchor>
    <xdr:pos x="0" y="0"/>
    <xdr:ext cx="10119917" cy="6069419"/>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0.46498</cdr:x>
      <cdr:y>0.90821</cdr:y>
    </cdr:from>
    <cdr:to>
      <cdr:x>0.65558</cdr:x>
      <cdr:y>0.98459</cdr:y>
    </cdr:to>
    <cdr:sp macro="" textlink="Data!$E$188">
      <cdr:nvSpPr>
        <cdr:cNvPr id="3" name="TextBox 2"/>
        <cdr:cNvSpPr txBox="1"/>
      </cdr:nvSpPr>
      <cdr:spPr>
        <a:xfrm xmlns:a="http://schemas.openxmlformats.org/drawingml/2006/main">
          <a:off x="4282587" y="5134002"/>
          <a:ext cx="1755435" cy="4317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fld id="{31B181E2-F431-418C-873F-FD2F30BEFB41}" type="TxLink">
            <a:rPr lang="en-US" sz="1000" b="1" i="0" u="none" strike="noStrike">
              <a:solidFill>
                <a:srgbClr val="000000"/>
              </a:solidFill>
              <a:latin typeface="+mn-lt"/>
            </a:rPr>
            <a:pPr/>
            <a:t>P(GU's):      75,8%
P(Tasks):     24,2%</a:t>
          </a:fld>
          <a:endParaRPr lang="da-DK" sz="800" b="1">
            <a:latin typeface="+mn-lt"/>
          </a:endParaRPr>
        </a:p>
      </cdr:txBody>
    </cdr:sp>
  </cdr:relSizeAnchor>
  <cdr:relSizeAnchor xmlns:cdr="http://schemas.openxmlformats.org/drawingml/2006/chartDrawing">
    <cdr:from>
      <cdr:x>0</cdr:x>
      <cdr:y>0.94867</cdr:y>
    </cdr:from>
    <cdr:to>
      <cdr:x>0.38883</cdr:x>
      <cdr:y>0.98811</cdr:y>
    </cdr:to>
    <cdr:sp macro="" textlink="Data!$E$190">
      <cdr:nvSpPr>
        <cdr:cNvPr id="4" name="TextBox 1"/>
        <cdr:cNvSpPr txBox="1"/>
      </cdr:nvSpPr>
      <cdr:spPr>
        <a:xfrm xmlns:a="http://schemas.openxmlformats.org/drawingml/2006/main">
          <a:off x="0" y="5351670"/>
          <a:ext cx="3576984" cy="222526"/>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8D37A5BF-1CE0-4A0A-A3F0-BA52EAF167DC}" type="TxLink">
            <a:rPr lang="en-US" sz="800" b="0" i="0" u="none" strike="noStrike">
              <a:solidFill>
                <a:srgbClr val="000000"/>
              </a:solidFill>
              <a:latin typeface="+mn-lt"/>
              <a:cs typeface="Arial"/>
            </a:rPr>
            <a:pPr algn="l"/>
            <a:t>early-quality-assuring-construction-project_2024-11-19a.xlsx</a:t>
          </a:fld>
          <a:endParaRPr lang="da-DK" sz="800" b="1">
            <a:latin typeface="+mn-lt"/>
          </a:endParaRPr>
        </a:p>
      </cdr:txBody>
    </cdr:sp>
  </cdr:relSizeAnchor>
  <cdr:relSizeAnchor xmlns:cdr="http://schemas.openxmlformats.org/drawingml/2006/chartDrawing">
    <cdr:from>
      <cdr:x>0.62694</cdr:x>
      <cdr:y>0.04788</cdr:y>
    </cdr:from>
    <cdr:to>
      <cdr:x>0.98652</cdr:x>
      <cdr:y>0.21304</cdr:y>
    </cdr:to>
    <cdr:sp macro="" textlink="Data!$E$189">
      <cdr:nvSpPr>
        <cdr:cNvPr id="5" name="TextBox 1"/>
        <cdr:cNvSpPr txBox="1"/>
      </cdr:nvSpPr>
      <cdr:spPr>
        <a:xfrm xmlns:a="http://schemas.openxmlformats.org/drawingml/2006/main">
          <a:off x="5774255" y="270652"/>
          <a:ext cx="3311826" cy="93362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244495B1-312E-4897-8C21-D875DCA4DA0D}" type="TxLink">
            <a:rPr lang="en-US" sz="2000" b="1" i="0" u="none" strike="noStrike">
              <a:solidFill>
                <a:schemeClr val="tx1"/>
              </a:solidFill>
              <a:latin typeface="+mn-lt"/>
              <a:cs typeface="Arial"/>
            </a:rPr>
            <a:pPr algn="r"/>
            <a:t>Construction - Scoping phase</a:t>
          </a:fld>
          <a:endParaRPr lang="da-DK" sz="2000" b="1">
            <a:solidFill>
              <a:schemeClr val="tx1"/>
            </a:solidFill>
            <a:latin typeface="+mn-lt"/>
          </a:endParaRPr>
        </a:p>
      </cdr:txBody>
    </cdr:sp>
  </cdr:relSizeAnchor>
  <cdr:relSizeAnchor xmlns:cdr="http://schemas.openxmlformats.org/drawingml/2006/chartDrawing">
    <cdr:from>
      <cdr:x>0.76854</cdr:x>
      <cdr:y>0.00898</cdr:y>
    </cdr:from>
    <cdr:to>
      <cdr:x>1</cdr:x>
      <cdr:y>0.04842</cdr:y>
    </cdr:to>
    <cdr:sp macro="" textlink="Data!$A$2">
      <cdr:nvSpPr>
        <cdr:cNvPr id="6" name="TextBox 1"/>
        <cdr:cNvSpPr txBox="1"/>
      </cdr:nvSpPr>
      <cdr:spPr>
        <a:xfrm xmlns:a="http://schemas.openxmlformats.org/drawingml/2006/main">
          <a:off x="7078492" y="50801"/>
          <a:ext cx="2131769" cy="2231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1637113-5A15-4705-A143-9124EA56AF69}" type="TxLink">
            <a:rPr lang="en-US" sz="600" b="0" i="0" u="none" strike="noStrike">
              <a:solidFill>
                <a:srgbClr val="000000"/>
              </a:solidFill>
              <a:latin typeface="Arial"/>
              <a:cs typeface="Arial"/>
            </a:rPr>
            <a:pPr algn="r"/>
            <a:t>Rev. 2024-01-17a</a:t>
          </a:fld>
          <a:endParaRPr lang="da-DK" sz="600" b="1"/>
        </a:p>
      </cdr:txBody>
    </cdr:sp>
  </cdr:relSizeAnchor>
  <cdr:relSizeAnchor xmlns:cdr="http://schemas.openxmlformats.org/drawingml/2006/chartDrawing">
    <cdr:from>
      <cdr:x>0.61323</cdr:x>
      <cdr:y>0.90916</cdr:y>
    </cdr:from>
    <cdr:to>
      <cdr:x>0.99685</cdr:x>
      <cdr:y>0.97255</cdr:y>
    </cdr:to>
    <cdr:sp macro="" textlink="Data!$E$192">
      <cdr:nvSpPr>
        <cdr:cNvPr id="7" name="TextBox 1"/>
        <cdr:cNvSpPr txBox="1"/>
      </cdr:nvSpPr>
      <cdr:spPr>
        <a:xfrm xmlns:a="http://schemas.openxmlformats.org/drawingml/2006/main">
          <a:off x="6202326" y="5522101"/>
          <a:ext cx="3880035" cy="38502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AFD44CF2-664C-4DB7-BAE4-2FCEA77D7A33}" type="TxLink">
            <a:rPr lang="en-US" sz="1200" b="1" i="0" u="none" strike="noStrike">
              <a:solidFill>
                <a:schemeClr val="tx1"/>
              </a:solidFill>
              <a:latin typeface="+mn-lt"/>
              <a:cs typeface="Arial"/>
            </a:rPr>
            <a:pPr/>
            <a:t>RESULT: 
Min= 342 Mean= 494 Max= 646 Min. &amp; GU's = 120,5</a:t>
          </a:fld>
          <a:endParaRPr lang="da-DK" sz="1200" b="1">
            <a:solidFill>
              <a:schemeClr val="tx1"/>
            </a:solidFill>
            <a:latin typeface="+mn-lt"/>
          </a:endParaRPr>
        </a:p>
      </cdr:txBody>
    </cdr:sp>
  </cdr:relSizeAnchor>
  <cdr:relSizeAnchor xmlns:cdr="http://schemas.openxmlformats.org/drawingml/2006/chartDrawing">
    <cdr:from>
      <cdr:x>0.0107</cdr:x>
      <cdr:y>0.74617</cdr:y>
    </cdr:from>
    <cdr:to>
      <cdr:x>0.09319</cdr:x>
      <cdr:y>0.93884</cdr:y>
    </cdr:to>
    <cdr:pic>
      <cdr:nvPicPr>
        <cdr:cNvPr id="2" name="Picture 1">
          <a:extLst xmlns:a="http://schemas.openxmlformats.org/drawingml/2006/main">
            <a:ext uri="{FF2B5EF4-FFF2-40B4-BE49-F238E27FC236}">
              <a16:creationId xmlns:a16="http://schemas.microsoft.com/office/drawing/2014/main" id="{00000000-0008-0000-0000-00001700000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8393" y="4532128"/>
          <a:ext cx="835369" cy="1170223"/>
        </a:xfrm>
        <a:prstGeom xmlns:a="http://schemas.openxmlformats.org/drawingml/2006/main" prst="rect">
          <a:avLst/>
        </a:prstGeom>
      </cdr:spPr>
    </cdr:pic>
  </cdr:relSizeAnchor>
  <cdr:relSizeAnchor xmlns:cdr="http://schemas.openxmlformats.org/drawingml/2006/chartDrawing">
    <cdr:from>
      <cdr:x>0.02208</cdr:x>
      <cdr:y>0.02806</cdr:y>
    </cdr:from>
    <cdr:to>
      <cdr:x>0.12925</cdr:x>
      <cdr:y>0.09491</cdr:y>
    </cdr:to>
    <cdr:pic>
      <cdr:nvPicPr>
        <cdr:cNvPr id="9" name="Picture 8">
          <a:extLst xmlns:a="http://schemas.openxmlformats.org/drawingml/2006/main">
            <a:ext uri="{FF2B5EF4-FFF2-40B4-BE49-F238E27FC236}">
              <a16:creationId xmlns:a16="http://schemas.microsoft.com/office/drawing/2014/main" id="{A96278ED-19B1-2A42-B622-14A620172C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223579" y="170416"/>
          <a:ext cx="1085407" cy="406061"/>
        </a:xfrm>
        <a:prstGeom xmlns:a="http://schemas.openxmlformats.org/drawingml/2006/main" prst="rect">
          <a:avLst/>
        </a:prstGeom>
      </cdr:spPr>
    </cdr:pic>
  </cdr:relSizeAnchor>
</c:userShapes>
</file>

<file path=xl/drawings/drawing14.xml><?xml version="1.0" encoding="utf-8"?>
<xdr:wsDr xmlns:xdr="http://schemas.openxmlformats.org/drawingml/2006/spreadsheetDrawing" xmlns:a="http://schemas.openxmlformats.org/drawingml/2006/main">
  <xdr:absoluteAnchor>
    <xdr:pos x="0" y="0"/>
    <xdr:ext cx="10123714" cy="6071260"/>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c:userShapes xmlns:c="http://schemas.openxmlformats.org/drawingml/2006/chart">
  <cdr:relSizeAnchor xmlns:cdr="http://schemas.openxmlformats.org/drawingml/2006/chartDrawing">
    <cdr:from>
      <cdr:x>0.4339</cdr:x>
      <cdr:y>0.90676</cdr:y>
    </cdr:from>
    <cdr:to>
      <cdr:x>0.6338</cdr:x>
      <cdr:y>0.98171</cdr:y>
    </cdr:to>
    <cdr:sp macro="" textlink="Data!$E$188">
      <cdr:nvSpPr>
        <cdr:cNvPr id="3" name="TextBox 2"/>
        <cdr:cNvSpPr txBox="1"/>
      </cdr:nvSpPr>
      <cdr:spPr>
        <a:xfrm xmlns:a="http://schemas.openxmlformats.org/drawingml/2006/main">
          <a:off x="3996360" y="5125805"/>
          <a:ext cx="1841104" cy="4236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fld id="{C13795DE-D631-456E-80CC-B8ED36EE7DFF}" type="TxLink">
            <a:rPr lang="en-US" sz="1000" b="1" i="0" u="none" strike="noStrike">
              <a:solidFill>
                <a:srgbClr val="000000"/>
              </a:solidFill>
              <a:latin typeface="+mn-lt"/>
            </a:rPr>
            <a:pPr algn="r"/>
            <a:t>P(GU's):      75,8%
P(Tasks):     24,2%</a:t>
          </a:fld>
          <a:endParaRPr lang="da-DK" sz="800" b="1">
            <a:latin typeface="+mn-lt"/>
          </a:endParaRPr>
        </a:p>
      </cdr:txBody>
    </cdr:sp>
  </cdr:relSizeAnchor>
  <cdr:relSizeAnchor xmlns:cdr="http://schemas.openxmlformats.org/drawingml/2006/chartDrawing">
    <cdr:from>
      <cdr:x>0</cdr:x>
      <cdr:y>0.94867</cdr:y>
    </cdr:from>
    <cdr:to>
      <cdr:x>0.38883</cdr:x>
      <cdr:y>0.98811</cdr:y>
    </cdr:to>
    <cdr:sp macro="" textlink="Data!$E$190">
      <cdr:nvSpPr>
        <cdr:cNvPr id="4" name="TextBox 1"/>
        <cdr:cNvSpPr txBox="1"/>
      </cdr:nvSpPr>
      <cdr:spPr>
        <a:xfrm xmlns:a="http://schemas.openxmlformats.org/drawingml/2006/main">
          <a:off x="0" y="5351670"/>
          <a:ext cx="3576984" cy="222526"/>
        </a:xfrm>
        <a:prstGeom xmlns:a="http://schemas.openxmlformats.org/drawingml/2006/main" prst="rect">
          <a:avLst/>
        </a:prstGeom>
        <a:ln xmlns:a="http://schemas.openxmlformats.org/drawingml/2006/main">
          <a:no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fld id="{9264A20F-A36B-4F9A-9D31-808613135834}" type="TxLink">
            <a:rPr lang="en-US" sz="800" b="0" i="0" u="none" strike="noStrike">
              <a:solidFill>
                <a:srgbClr val="000000"/>
              </a:solidFill>
              <a:latin typeface="+mn-lt"/>
              <a:cs typeface="Arial"/>
            </a:rPr>
            <a:pPr algn="l"/>
            <a:t>early-quality-assuring-construction-project_2024-11-19a.xlsx</a:t>
          </a:fld>
          <a:endParaRPr lang="da-DK" sz="800" b="1">
            <a:latin typeface="+mn-lt"/>
          </a:endParaRPr>
        </a:p>
      </cdr:txBody>
    </cdr:sp>
  </cdr:relSizeAnchor>
  <cdr:relSizeAnchor xmlns:cdr="http://schemas.openxmlformats.org/drawingml/2006/chartDrawing">
    <cdr:from>
      <cdr:x>0.55097</cdr:x>
      <cdr:y>0.03824</cdr:y>
    </cdr:from>
    <cdr:to>
      <cdr:x>1</cdr:x>
      <cdr:y>0.14631</cdr:y>
    </cdr:to>
    <cdr:sp macro="" textlink="Data!$E$189">
      <cdr:nvSpPr>
        <cdr:cNvPr id="5" name="TextBox 1"/>
        <cdr:cNvSpPr txBox="1"/>
      </cdr:nvSpPr>
      <cdr:spPr>
        <a:xfrm xmlns:a="http://schemas.openxmlformats.org/drawingml/2006/main">
          <a:off x="5081380" y="215691"/>
          <a:ext cx="4141305" cy="60956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060602C-196C-4F0B-B2F9-914A22028316}" type="TxLink">
            <a:rPr lang="en-US" sz="2000" b="1" i="0" u="none" strike="noStrike">
              <a:solidFill>
                <a:schemeClr val="tx1"/>
              </a:solidFill>
              <a:latin typeface="+mn-lt"/>
              <a:cs typeface="Arial"/>
            </a:rPr>
            <a:pPr algn="r"/>
            <a:t>Construction - Scoping phase</a:t>
          </a:fld>
          <a:endParaRPr lang="da-DK" sz="2000" b="1">
            <a:solidFill>
              <a:schemeClr val="tx1"/>
            </a:solidFill>
            <a:latin typeface="+mn-lt"/>
          </a:endParaRPr>
        </a:p>
      </cdr:txBody>
    </cdr:sp>
  </cdr:relSizeAnchor>
  <cdr:relSizeAnchor xmlns:cdr="http://schemas.openxmlformats.org/drawingml/2006/chartDrawing">
    <cdr:from>
      <cdr:x>0.76854</cdr:x>
      <cdr:y>0.00898</cdr:y>
    </cdr:from>
    <cdr:to>
      <cdr:x>1</cdr:x>
      <cdr:y>0.04842</cdr:y>
    </cdr:to>
    <cdr:sp macro="" textlink="Data!$A$2">
      <cdr:nvSpPr>
        <cdr:cNvPr id="6" name="TextBox 1"/>
        <cdr:cNvSpPr txBox="1"/>
      </cdr:nvSpPr>
      <cdr:spPr>
        <a:xfrm xmlns:a="http://schemas.openxmlformats.org/drawingml/2006/main">
          <a:off x="7078492" y="50801"/>
          <a:ext cx="2131769" cy="22311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1637113-5A15-4705-A143-9124EA56AF69}" type="TxLink">
            <a:rPr lang="en-US" sz="600" b="0" i="0" u="none" strike="noStrike">
              <a:solidFill>
                <a:srgbClr val="000000"/>
              </a:solidFill>
              <a:latin typeface="+mn-lt"/>
              <a:cs typeface="Arial"/>
            </a:rPr>
            <a:pPr algn="r"/>
            <a:t>Rev. 2024-01-17a</a:t>
          </a:fld>
          <a:endParaRPr lang="da-DK" sz="600" b="1">
            <a:latin typeface="+mn-lt"/>
          </a:endParaRPr>
        </a:p>
      </cdr:txBody>
    </cdr:sp>
  </cdr:relSizeAnchor>
  <cdr:relSizeAnchor xmlns:cdr="http://schemas.openxmlformats.org/drawingml/2006/chartDrawing">
    <cdr:from>
      <cdr:x>0.64126</cdr:x>
      <cdr:y>0.90628</cdr:y>
    </cdr:from>
    <cdr:to>
      <cdr:x>0.9982</cdr:x>
      <cdr:y>0.96967</cdr:y>
    </cdr:to>
    <cdr:sp macro="" textlink="Data!$E$192">
      <cdr:nvSpPr>
        <cdr:cNvPr id="7" name="TextBox 1"/>
        <cdr:cNvSpPr txBox="1"/>
      </cdr:nvSpPr>
      <cdr:spPr>
        <a:xfrm xmlns:a="http://schemas.openxmlformats.org/drawingml/2006/main">
          <a:off x="5911473" y="5111859"/>
          <a:ext cx="3290505" cy="35754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fld id="{9CFEC0C9-2051-44DC-9CC8-BC05A8A73516}" type="TxLink">
            <a:rPr lang="en-US" sz="1200" b="1" i="0" u="none" strike="noStrike">
              <a:solidFill>
                <a:srgbClr val="000000"/>
              </a:solidFill>
              <a:latin typeface="+mn-lt"/>
              <a:cs typeface="Arial"/>
            </a:rPr>
            <a:pPr/>
            <a:t>RESULT: 
Min= 342 Mean= 494 Max= 646 Min. &amp; GU's = 120,5</a:t>
          </a:fld>
          <a:endParaRPr lang="da-DK" sz="1200" b="1">
            <a:latin typeface="+mn-lt"/>
          </a:endParaRPr>
        </a:p>
      </cdr:txBody>
    </cdr:sp>
  </cdr:relSizeAnchor>
  <cdr:relSizeAnchor xmlns:cdr="http://schemas.openxmlformats.org/drawingml/2006/chartDrawing">
    <cdr:from>
      <cdr:x>0.0189</cdr:x>
      <cdr:y>0.0248</cdr:y>
    </cdr:from>
    <cdr:to>
      <cdr:x>0.1261</cdr:x>
      <cdr:y>0.09169</cdr:y>
    </cdr:to>
    <cdr:pic>
      <cdr:nvPicPr>
        <cdr:cNvPr id="2" name="Picture 1">
          <a:extLst xmlns:a="http://schemas.openxmlformats.org/drawingml/2006/main">
            <a:ext uri="{FF2B5EF4-FFF2-40B4-BE49-F238E27FC236}">
              <a16:creationId xmlns:a16="http://schemas.microsoft.com/office/drawing/2014/main" id="{A96278ED-19B1-2A42-B622-14A620172CD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91407" y="150586"/>
          <a:ext cx="1085407" cy="406061"/>
        </a:xfrm>
        <a:prstGeom xmlns:a="http://schemas.openxmlformats.org/drawingml/2006/main" prst="rect">
          <a:avLst/>
        </a:prstGeom>
      </cdr:spPr>
    </cdr:pic>
  </cdr:relSizeAnchor>
  <cdr:relSizeAnchor xmlns:cdr="http://schemas.openxmlformats.org/drawingml/2006/chartDrawing">
    <cdr:from>
      <cdr:x>0.00817</cdr:x>
      <cdr:y>0.75519</cdr:y>
    </cdr:from>
    <cdr:to>
      <cdr:x>0.09069</cdr:x>
      <cdr:y>0.94788</cdr:y>
    </cdr:to>
    <cdr:pic>
      <cdr:nvPicPr>
        <cdr:cNvPr id="8" name="Picture 7">
          <a:extLst xmlns:a="http://schemas.openxmlformats.org/drawingml/2006/main">
            <a:ext uri="{FF2B5EF4-FFF2-40B4-BE49-F238E27FC236}">
              <a16:creationId xmlns:a16="http://schemas.microsoft.com/office/drawing/2014/main" id="{423264DC-B0F4-2790-021E-999ADB6D9F0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2550" y="4586515"/>
          <a:ext cx="834322" cy="1170248"/>
        </a:xfrm>
        <a:prstGeom xmlns:a="http://schemas.openxmlformats.org/drawingml/2006/main" prst="rect">
          <a:avLst/>
        </a:prstGeom>
      </cdr:spPr>
    </cdr:pic>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mpilot.dk/" TargetMode="External"/><Relationship Id="rId1" Type="http://schemas.openxmlformats.org/officeDocument/2006/relationships/hyperlink" Target="http://www.lichtenberg.org/"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0F9F-D56A-467A-9B6A-7BCDE1A86BF5}">
  <sheetPr codeName="Sheet1">
    <tabColor theme="0" tint="-0.34998626667073579"/>
  </sheetPr>
  <dimension ref="A1:AB112"/>
  <sheetViews>
    <sheetView tabSelected="1" zoomScale="75" zoomScaleNormal="75" workbookViewId="0">
      <pane ySplit="1" topLeftCell="A2" activePane="bottomLeft" state="frozen"/>
      <selection pane="bottomLeft"/>
    </sheetView>
  </sheetViews>
  <sheetFormatPr defaultRowHeight="12.45"/>
  <cols>
    <col min="1" max="1" width="7.23046875" customWidth="1"/>
    <col min="2" max="2" width="9.53515625" bestFit="1" customWidth="1"/>
    <col min="3" max="3" width="9.3046875" bestFit="1" customWidth="1"/>
    <col min="4" max="4" width="10.4609375" bestFit="1" customWidth="1"/>
    <col min="5" max="5" width="10.23046875" customWidth="1"/>
    <col min="6" max="6" width="32" style="8" customWidth="1"/>
    <col min="7" max="7" width="17.69140625" customWidth="1"/>
    <col min="8" max="8" width="38.3046875" style="17" customWidth="1"/>
    <col min="9" max="9" width="5.69140625" customWidth="1"/>
    <col min="10" max="20" width="9.23046875" style="48"/>
  </cols>
  <sheetData>
    <row r="1" spans="1:20" s="4" customFormat="1" ht="27.65" customHeight="1">
      <c r="A1" s="59" t="s">
        <v>128</v>
      </c>
      <c r="B1" s="46"/>
      <c r="C1" s="47"/>
      <c r="D1" s="46"/>
      <c r="E1" s="46"/>
      <c r="F1" s="46"/>
      <c r="G1" s="46"/>
      <c r="H1" s="374" t="s">
        <v>165</v>
      </c>
      <c r="I1" s="390"/>
      <c r="J1" s="46"/>
      <c r="K1" s="46"/>
      <c r="L1" s="395" t="str">
        <f>Data!$A$2</f>
        <v>Rev. 2024-01-17a</v>
      </c>
      <c r="M1" s="46"/>
      <c r="N1" s="46"/>
      <c r="O1" s="46"/>
      <c r="P1" s="46"/>
      <c r="Q1" s="46"/>
      <c r="R1" s="46"/>
      <c r="S1" s="46"/>
      <c r="T1" s="46"/>
    </row>
    <row r="2" spans="1:20">
      <c r="A2" s="96"/>
      <c r="B2" s="96"/>
      <c r="C2" s="96"/>
      <c r="D2" s="96"/>
      <c r="E2" s="96"/>
      <c r="F2" s="96"/>
      <c r="G2" s="96"/>
      <c r="H2" s="96"/>
      <c r="I2" s="391"/>
    </row>
    <row r="3" spans="1:20" ht="15.45">
      <c r="A3" s="48"/>
      <c r="B3" s="48"/>
      <c r="C3" s="47"/>
      <c r="D3" s="48"/>
      <c r="E3" s="48"/>
      <c r="F3" s="49"/>
      <c r="G3" s="48"/>
      <c r="H3" s="50"/>
      <c r="I3" s="392"/>
    </row>
    <row r="4" spans="1:20" ht="15.45">
      <c r="A4" s="48"/>
      <c r="B4" s="48"/>
      <c r="C4" s="47"/>
      <c r="D4" s="48"/>
      <c r="E4" s="48"/>
      <c r="F4" s="49"/>
      <c r="G4" s="48"/>
      <c r="H4" s="50"/>
      <c r="I4" s="392"/>
    </row>
    <row r="5" spans="1:20" ht="15.45">
      <c r="A5" s="48"/>
      <c r="B5" s="48"/>
      <c r="C5" s="47"/>
      <c r="D5" s="48"/>
      <c r="E5" s="48"/>
      <c r="F5" s="49"/>
      <c r="G5" s="48"/>
      <c r="H5" s="50"/>
      <c r="I5" s="392"/>
    </row>
    <row r="6" spans="1:20" ht="15.45">
      <c r="A6" s="48"/>
      <c r="B6" s="48"/>
      <c r="C6" s="47"/>
      <c r="D6" s="48"/>
      <c r="E6" s="48"/>
      <c r="F6" s="49"/>
      <c r="G6" s="48"/>
      <c r="H6" s="50"/>
      <c r="I6" s="392"/>
    </row>
    <row r="7" spans="1:20" ht="15.45">
      <c r="A7" s="48"/>
      <c r="B7" s="48"/>
      <c r="C7" s="47"/>
      <c r="D7" s="48"/>
      <c r="E7" s="48"/>
      <c r="F7" s="49"/>
      <c r="G7" s="48"/>
      <c r="H7" s="50"/>
      <c r="I7" s="392"/>
    </row>
    <row r="8" spans="1:20" ht="15.45">
      <c r="A8" s="48"/>
      <c r="B8" s="48"/>
      <c r="C8" s="47"/>
      <c r="D8" s="48"/>
      <c r="E8" s="48"/>
      <c r="F8" s="49"/>
      <c r="G8" s="48"/>
      <c r="H8" s="50"/>
      <c r="I8" s="392"/>
    </row>
    <row r="9" spans="1:20" ht="15.45">
      <c r="A9" s="48"/>
      <c r="B9" s="48"/>
      <c r="C9" s="47"/>
      <c r="D9" s="47"/>
      <c r="E9" s="47"/>
      <c r="F9" s="49"/>
      <c r="G9" s="48"/>
      <c r="H9" s="50"/>
      <c r="I9" s="392"/>
    </row>
    <row r="10" spans="1:20" ht="15.45">
      <c r="A10" s="48"/>
      <c r="B10" s="48"/>
      <c r="C10" s="47"/>
      <c r="D10" s="48"/>
      <c r="E10" s="48"/>
      <c r="F10" s="49"/>
      <c r="G10" s="48"/>
      <c r="H10" s="50"/>
      <c r="I10" s="392"/>
    </row>
    <row r="11" spans="1:20" ht="15.45">
      <c r="A11" s="48"/>
      <c r="B11" s="48"/>
      <c r="C11" s="47"/>
      <c r="D11" s="48"/>
      <c r="E11" s="48"/>
      <c r="F11" s="49"/>
      <c r="G11" s="48"/>
      <c r="H11" s="50"/>
      <c r="I11" s="392"/>
    </row>
    <row r="12" spans="1:20" ht="21.75" customHeight="1">
      <c r="A12" s="48"/>
      <c r="B12" s="48"/>
      <c r="C12" s="47"/>
      <c r="D12" s="48"/>
      <c r="E12" s="48"/>
      <c r="F12" s="49"/>
      <c r="G12" s="48"/>
      <c r="H12" s="50"/>
      <c r="I12" s="392"/>
    </row>
    <row r="13" spans="1:20" ht="15" customHeight="1">
      <c r="A13" s="48"/>
      <c r="B13" s="48"/>
      <c r="C13" s="47"/>
      <c r="D13" s="48"/>
      <c r="E13" s="48"/>
      <c r="F13" s="49"/>
      <c r="G13" s="48"/>
      <c r="H13" s="50"/>
      <c r="I13" s="392"/>
    </row>
    <row r="14" spans="1:20" ht="15.45">
      <c r="A14" s="48"/>
      <c r="B14" s="48"/>
      <c r="C14" s="47"/>
      <c r="D14" s="48"/>
      <c r="E14" s="48"/>
      <c r="F14" s="49"/>
      <c r="G14" s="48"/>
      <c r="H14" s="50"/>
      <c r="I14" s="392"/>
    </row>
    <row r="15" spans="1:20" ht="15.45">
      <c r="A15" s="48"/>
      <c r="B15" s="48"/>
      <c r="C15" s="47"/>
      <c r="D15" s="48"/>
      <c r="E15" s="48"/>
      <c r="F15" s="49"/>
      <c r="G15" s="48"/>
      <c r="H15" s="50"/>
      <c r="I15" s="392"/>
    </row>
    <row r="16" spans="1:20" ht="15.45">
      <c r="A16" s="48"/>
      <c r="B16" s="48"/>
      <c r="C16" s="47"/>
      <c r="D16" s="48"/>
      <c r="E16" s="48"/>
      <c r="F16" s="49"/>
      <c r="G16" s="48"/>
      <c r="H16" s="50"/>
      <c r="I16" s="392"/>
    </row>
    <row r="17" spans="1:9" ht="15.45">
      <c r="A17" s="48"/>
      <c r="B17" s="48"/>
      <c r="C17" s="47"/>
      <c r="D17" s="48"/>
      <c r="E17" s="48"/>
      <c r="F17" s="49"/>
      <c r="G17" s="48"/>
      <c r="H17" s="50"/>
      <c r="I17" s="392"/>
    </row>
    <row r="18" spans="1:9" ht="15.45">
      <c r="A18" s="48"/>
      <c r="B18" s="48"/>
      <c r="C18" s="47"/>
      <c r="D18" s="48"/>
      <c r="E18" s="48"/>
      <c r="F18" s="49"/>
      <c r="G18" s="48"/>
      <c r="H18" s="50"/>
      <c r="I18" s="392"/>
    </row>
    <row r="19" spans="1:9" ht="15.45" hidden="1">
      <c r="A19" s="48"/>
      <c r="B19" s="48"/>
      <c r="C19" s="47"/>
      <c r="D19" s="48"/>
      <c r="E19" s="48"/>
      <c r="F19" s="49"/>
      <c r="G19" s="48"/>
      <c r="H19" s="50"/>
      <c r="I19" s="392"/>
    </row>
    <row r="20" spans="1:9" ht="15.45" hidden="1">
      <c r="A20" s="48"/>
      <c r="B20" s="48"/>
      <c r="C20" s="47"/>
      <c r="D20" s="48"/>
      <c r="E20" s="48"/>
      <c r="F20" s="49"/>
      <c r="G20" s="48"/>
      <c r="H20" s="50"/>
      <c r="I20" s="392"/>
    </row>
    <row r="21" spans="1:9" ht="15.45" hidden="1">
      <c r="A21" s="48"/>
      <c r="B21" s="48"/>
      <c r="C21" s="47"/>
      <c r="D21" s="48"/>
      <c r="E21" s="48"/>
      <c r="F21" s="49"/>
      <c r="G21" s="48"/>
      <c r="H21" s="50"/>
      <c r="I21" s="392"/>
    </row>
    <row r="22" spans="1:9" ht="15.45" hidden="1">
      <c r="A22" s="48"/>
      <c r="B22" s="48"/>
      <c r="C22" s="47"/>
      <c r="D22" s="48"/>
      <c r="E22" s="48"/>
      <c r="F22" s="49"/>
      <c r="G22" s="48"/>
      <c r="H22" s="50"/>
      <c r="I22" s="392"/>
    </row>
    <row r="23" spans="1:9" ht="15.45" hidden="1">
      <c r="A23" s="48"/>
      <c r="B23" s="48"/>
      <c r="C23" s="47"/>
      <c r="D23" s="48"/>
      <c r="E23" s="48"/>
      <c r="F23" s="49"/>
      <c r="G23" s="48"/>
      <c r="H23" s="50"/>
      <c r="I23" s="392"/>
    </row>
    <row r="24" spans="1:9" ht="15.45" hidden="1">
      <c r="A24" s="48"/>
      <c r="B24" s="48"/>
      <c r="C24" s="47"/>
      <c r="D24" s="48"/>
      <c r="E24" s="48"/>
      <c r="F24" s="49"/>
      <c r="G24" s="48"/>
      <c r="H24" s="50"/>
      <c r="I24" s="392"/>
    </row>
    <row r="25" spans="1:9" ht="15.45" hidden="1">
      <c r="A25" s="48"/>
      <c r="B25" s="48"/>
      <c r="C25" s="47"/>
      <c r="D25" s="48"/>
      <c r="E25" s="48"/>
      <c r="F25" s="49"/>
      <c r="G25" s="48"/>
      <c r="H25" s="50"/>
      <c r="I25" s="392"/>
    </row>
    <row r="26" spans="1:9" ht="15.45" hidden="1">
      <c r="A26" s="48"/>
      <c r="B26" s="48"/>
      <c r="C26" s="47"/>
      <c r="D26" s="48"/>
      <c r="E26" s="48"/>
      <c r="F26" s="49"/>
      <c r="G26" s="48"/>
      <c r="H26" s="50"/>
      <c r="I26" s="392"/>
    </row>
    <row r="27" spans="1:9" ht="15.45" hidden="1">
      <c r="A27" s="48"/>
      <c r="B27" s="48"/>
      <c r="C27" s="47"/>
      <c r="D27" s="48"/>
      <c r="E27" s="48"/>
      <c r="F27" s="49"/>
      <c r="G27" s="48"/>
      <c r="H27" s="50"/>
      <c r="I27" s="392"/>
    </row>
    <row r="28" spans="1:9" ht="15.45" hidden="1">
      <c r="A28" s="48"/>
      <c r="B28" s="48"/>
      <c r="C28" s="47"/>
      <c r="D28" s="48"/>
      <c r="E28" s="48"/>
      <c r="F28" s="49"/>
      <c r="G28" s="48"/>
      <c r="H28" s="50"/>
      <c r="I28" s="392"/>
    </row>
    <row r="29" spans="1:9" ht="15.45">
      <c r="A29" s="48"/>
      <c r="B29" s="48"/>
      <c r="C29" s="47"/>
      <c r="D29" s="48"/>
      <c r="E29" s="48"/>
      <c r="F29" s="49"/>
      <c r="G29" s="48"/>
      <c r="H29" s="50"/>
      <c r="I29" s="392"/>
    </row>
    <row r="30" spans="1:9" ht="15.45">
      <c r="A30" s="48"/>
      <c r="B30" s="48"/>
      <c r="C30" s="47"/>
      <c r="D30" s="48"/>
      <c r="E30" s="48"/>
      <c r="F30" s="49"/>
      <c r="G30" s="48"/>
      <c r="H30" s="50"/>
      <c r="I30" s="392"/>
    </row>
    <row r="31" spans="1:9" ht="15.45">
      <c r="A31" s="48"/>
      <c r="B31" s="48"/>
      <c r="C31" s="47"/>
      <c r="D31" s="48"/>
      <c r="E31" s="48"/>
      <c r="F31" s="49"/>
      <c r="G31" s="48"/>
      <c r="H31" s="50"/>
      <c r="I31" s="392"/>
    </row>
    <row r="32" spans="1:9" ht="15.45">
      <c r="A32" s="48"/>
      <c r="B32" s="48"/>
      <c r="C32" s="47"/>
      <c r="D32" s="48"/>
      <c r="E32" s="48"/>
      <c r="F32" s="49"/>
      <c r="G32" s="48"/>
      <c r="H32" s="50"/>
      <c r="I32" s="392"/>
    </row>
    <row r="33" spans="1:28" ht="15.45">
      <c r="A33" s="48"/>
      <c r="B33" s="48"/>
      <c r="C33" s="47"/>
      <c r="D33" s="48"/>
      <c r="E33" s="48"/>
      <c r="F33" s="49"/>
      <c r="G33" s="48"/>
      <c r="H33" s="50"/>
      <c r="I33" s="392"/>
    </row>
    <row r="34" spans="1:28" ht="15.45">
      <c r="A34" s="48"/>
      <c r="B34" s="48"/>
      <c r="C34" s="47"/>
      <c r="D34" s="48"/>
      <c r="E34" s="48"/>
      <c r="F34" s="49"/>
      <c r="G34" s="48"/>
      <c r="H34" s="50"/>
      <c r="I34" s="392"/>
    </row>
    <row r="35" spans="1:28" ht="15.45">
      <c r="A35" s="48"/>
      <c r="B35" s="48"/>
      <c r="C35" s="47"/>
      <c r="D35" s="48"/>
      <c r="E35" s="48"/>
      <c r="F35" s="49"/>
      <c r="G35" s="48"/>
      <c r="H35" s="50"/>
      <c r="I35" s="392"/>
    </row>
    <row r="36" spans="1:28" ht="15" hidden="1" customHeight="1">
      <c r="A36" s="48"/>
      <c r="B36" s="48"/>
      <c r="C36" s="47"/>
      <c r="D36" s="48"/>
      <c r="E36" s="48"/>
      <c r="F36" s="49"/>
      <c r="G36" s="48"/>
      <c r="H36" s="50"/>
      <c r="I36" s="392"/>
    </row>
    <row r="37" spans="1:28" ht="15" hidden="1" customHeight="1">
      <c r="A37" s="48"/>
      <c r="B37" s="48"/>
      <c r="C37" s="47"/>
      <c r="D37" s="48"/>
      <c r="E37" s="48"/>
      <c r="F37" s="49"/>
      <c r="G37" s="48"/>
      <c r="H37" s="50"/>
      <c r="I37" s="392"/>
      <c r="Z37" s="363"/>
      <c r="AB37" s="41"/>
    </row>
    <row r="38" spans="1:28" ht="15" hidden="1" customHeight="1">
      <c r="A38" s="48"/>
      <c r="B38" s="48"/>
      <c r="C38" s="47"/>
      <c r="D38" s="48"/>
      <c r="E38" s="48"/>
      <c r="F38" s="49"/>
      <c r="G38" s="48"/>
      <c r="H38" s="50"/>
      <c r="I38" s="392"/>
      <c r="Z38" s="363"/>
      <c r="AB38" s="42"/>
    </row>
    <row r="39" spans="1:28" ht="15" customHeight="1">
      <c r="A39" s="48"/>
      <c r="B39" s="48"/>
      <c r="C39" s="47"/>
      <c r="D39" s="48"/>
      <c r="E39" s="48"/>
      <c r="F39" s="49"/>
      <c r="G39" s="48"/>
      <c r="H39" s="50"/>
      <c r="I39" s="392"/>
      <c r="Z39" s="43"/>
      <c r="AB39" s="29"/>
    </row>
    <row r="40" spans="1:28" ht="15.45">
      <c r="A40" s="48"/>
      <c r="B40" s="48"/>
      <c r="C40" s="47"/>
      <c r="D40" s="48"/>
      <c r="E40" s="48"/>
      <c r="F40" s="49"/>
      <c r="G40" s="48"/>
      <c r="H40" s="50"/>
      <c r="I40" s="392"/>
    </row>
    <row r="41" spans="1:28" ht="15.45">
      <c r="A41" s="48"/>
      <c r="B41" s="48"/>
      <c r="C41" s="47"/>
      <c r="D41" s="48"/>
      <c r="E41" s="48"/>
      <c r="F41" s="49"/>
      <c r="G41" s="48"/>
      <c r="H41" s="50"/>
      <c r="I41" s="392"/>
      <c r="Z41" s="43"/>
    </row>
    <row r="42" spans="1:28" ht="15.45">
      <c r="A42" s="48"/>
      <c r="B42" s="81" t="s">
        <v>33</v>
      </c>
      <c r="C42" s="47"/>
      <c r="D42" s="48"/>
      <c r="E42" s="48"/>
      <c r="F42" s="49"/>
      <c r="G42" s="48"/>
      <c r="H42" s="375" t="s">
        <v>164</v>
      </c>
      <c r="I42" s="392"/>
      <c r="Z42" s="43"/>
    </row>
    <row r="43" spans="1:28">
      <c r="A43" s="96"/>
      <c r="B43" s="96"/>
      <c r="C43" s="96"/>
      <c r="D43" s="96"/>
      <c r="E43" s="96"/>
      <c r="F43" s="96"/>
      <c r="G43" s="96"/>
      <c r="H43" s="96"/>
      <c r="I43" s="391"/>
    </row>
    <row r="44" spans="1:28">
      <c r="A44" s="96"/>
      <c r="B44" s="96"/>
      <c r="C44" s="96"/>
      <c r="D44" s="96"/>
      <c r="E44" s="96"/>
      <c r="F44" s="96"/>
      <c r="G44" s="96"/>
      <c r="H44" s="96"/>
      <c r="I44" s="391"/>
    </row>
    <row r="45" spans="1:28">
      <c r="A45" s="51"/>
      <c r="B45" s="52"/>
      <c r="C45" s="51"/>
      <c r="D45" s="48"/>
      <c r="E45" s="48"/>
      <c r="F45" s="49"/>
      <c r="G45" s="48"/>
      <c r="H45" s="50"/>
      <c r="I45" s="392"/>
      <c r="Z45" s="43"/>
    </row>
    <row r="46" spans="1:28" ht="18.45">
      <c r="A46" s="55"/>
      <c r="B46" s="48"/>
      <c r="C46" s="48"/>
      <c r="D46" s="48"/>
      <c r="E46" s="48"/>
      <c r="F46" s="48"/>
      <c r="G46" s="48"/>
      <c r="H46" s="48"/>
      <c r="I46" s="392"/>
      <c r="K46" s="49"/>
      <c r="M46" s="50"/>
      <c r="N46" s="396"/>
    </row>
    <row r="47" spans="1:28">
      <c r="A47" s="51"/>
      <c r="B47" s="52"/>
      <c r="C47" s="51"/>
      <c r="D47" s="48"/>
      <c r="E47" s="48"/>
      <c r="F47" s="49"/>
      <c r="G47" s="48"/>
      <c r="H47" s="50"/>
      <c r="I47" s="392"/>
      <c r="Z47" s="43"/>
    </row>
    <row r="48" spans="1:28">
      <c r="A48" s="51"/>
      <c r="B48" s="52"/>
      <c r="C48" s="51"/>
      <c r="D48" s="48"/>
      <c r="E48" s="48"/>
      <c r="F48" s="49"/>
      <c r="G48" s="48"/>
      <c r="H48" s="50"/>
      <c r="I48" s="392"/>
      <c r="Z48" s="43"/>
    </row>
    <row r="49" spans="1:26">
      <c r="A49" s="51"/>
      <c r="B49" s="52"/>
      <c r="C49" s="51"/>
      <c r="D49" s="48"/>
      <c r="E49" s="48"/>
      <c r="F49" s="49"/>
      <c r="G49" s="48"/>
      <c r="H49" s="50"/>
      <c r="I49" s="392"/>
      <c r="Z49" s="43"/>
    </row>
    <row r="50" spans="1:26">
      <c r="A50" s="51"/>
      <c r="B50" s="52"/>
      <c r="C50" s="51"/>
      <c r="D50" s="48"/>
      <c r="E50" s="48"/>
      <c r="F50" s="49"/>
      <c r="G50" s="48"/>
      <c r="H50" s="50"/>
      <c r="I50" s="392"/>
      <c r="Z50" s="43"/>
    </row>
    <row r="51" spans="1:26">
      <c r="A51" s="51"/>
      <c r="B51" s="52"/>
      <c r="C51" s="51"/>
      <c r="D51" s="48"/>
      <c r="E51" s="48"/>
      <c r="F51" s="49"/>
      <c r="G51" s="48"/>
      <c r="H51" s="50"/>
      <c r="I51" s="392"/>
      <c r="Z51" s="43"/>
    </row>
    <row r="52" spans="1:26">
      <c r="A52" s="51"/>
      <c r="B52" s="52"/>
      <c r="C52" s="51"/>
      <c r="D52" s="48"/>
      <c r="E52" s="48"/>
      <c r="F52" s="49"/>
      <c r="G52" s="48"/>
      <c r="H52" s="50"/>
      <c r="I52" s="392"/>
      <c r="Z52" s="43"/>
    </row>
    <row r="53" spans="1:26">
      <c r="A53" s="51"/>
      <c r="B53" s="52"/>
      <c r="C53" s="51"/>
      <c r="D53" s="48"/>
      <c r="E53" s="48"/>
      <c r="F53" s="49"/>
      <c r="G53" s="48"/>
      <c r="H53" s="50"/>
      <c r="I53" s="392"/>
      <c r="Z53" s="43"/>
    </row>
    <row r="54" spans="1:26">
      <c r="A54" s="51"/>
      <c r="B54" s="52"/>
      <c r="C54" s="51"/>
      <c r="D54" s="48"/>
      <c r="E54" s="48"/>
      <c r="F54" s="49"/>
      <c r="G54" s="48"/>
      <c r="H54" s="50"/>
      <c r="I54" s="392"/>
      <c r="Z54" s="43"/>
    </row>
    <row r="55" spans="1:26" s="3" customFormat="1" ht="15.45">
      <c r="A55" s="53"/>
      <c r="B55" s="54"/>
      <c r="C55" s="54"/>
      <c r="D55" s="54"/>
      <c r="E55" s="54"/>
      <c r="F55" s="54"/>
      <c r="G55" s="54"/>
      <c r="H55" s="54"/>
      <c r="I55" s="393"/>
      <c r="J55" s="54"/>
      <c r="K55" s="56"/>
      <c r="L55" s="54"/>
      <c r="M55" s="57"/>
      <c r="N55" s="397"/>
      <c r="O55" s="54"/>
      <c r="P55" s="54"/>
      <c r="Q55" s="54"/>
      <c r="R55" s="54"/>
      <c r="S55" s="54"/>
      <c r="T55" s="54"/>
    </row>
    <row r="56" spans="1:26" s="3" customFormat="1" ht="19.3">
      <c r="A56" s="47"/>
      <c r="B56" s="54"/>
      <c r="C56" s="54"/>
      <c r="D56" s="54"/>
      <c r="E56" s="54"/>
      <c r="F56" s="54"/>
      <c r="G56" s="54"/>
      <c r="H56" s="54"/>
      <c r="I56" s="393"/>
      <c r="J56" s="54"/>
      <c r="K56" s="56"/>
      <c r="L56" s="398"/>
      <c r="M56" s="57"/>
      <c r="N56" s="397"/>
      <c r="O56" s="54"/>
      <c r="P56" s="54"/>
      <c r="Q56" s="54"/>
      <c r="R56" s="54"/>
      <c r="S56" s="54"/>
      <c r="T56" s="54"/>
    </row>
    <row r="57" spans="1:26" s="3" customFormat="1" ht="18.899999999999999">
      <c r="A57" s="47"/>
      <c r="B57" s="54"/>
      <c r="C57" s="54"/>
      <c r="D57" s="54"/>
      <c r="E57" s="54"/>
      <c r="F57" s="54"/>
      <c r="G57" s="54"/>
      <c r="H57" s="54"/>
      <c r="I57" s="393"/>
      <c r="J57" s="54"/>
      <c r="K57" s="56"/>
      <c r="L57" s="399"/>
      <c r="M57" s="57"/>
      <c r="N57" s="397"/>
      <c r="O57" s="54"/>
      <c r="P57" s="54"/>
      <c r="Q57" s="54"/>
      <c r="R57" s="54"/>
      <c r="S57" s="54"/>
      <c r="T57" s="54"/>
    </row>
    <row r="58" spans="1:26">
      <c r="A58" s="48"/>
      <c r="B58" s="48"/>
      <c r="C58" s="48"/>
      <c r="D58" s="48"/>
      <c r="E58" s="48"/>
      <c r="F58" s="48"/>
      <c r="G58" s="48"/>
      <c r="H58" s="48"/>
      <c r="I58" s="392"/>
      <c r="K58" s="49"/>
      <c r="M58" s="50"/>
      <c r="N58" s="396"/>
    </row>
    <row r="59" spans="1:26" ht="18.45">
      <c r="A59" s="55"/>
      <c r="B59" s="48"/>
      <c r="C59" s="48"/>
      <c r="D59" s="48"/>
      <c r="E59" s="48"/>
      <c r="F59" s="48"/>
      <c r="G59" s="48"/>
      <c r="H59" s="48"/>
      <c r="I59" s="392"/>
      <c r="K59" s="49"/>
      <c r="M59" s="50"/>
      <c r="N59" s="396"/>
    </row>
    <row r="60" spans="1:26">
      <c r="A60" s="48"/>
      <c r="B60" s="48"/>
      <c r="C60" s="48"/>
      <c r="D60" s="48"/>
      <c r="E60" s="48"/>
      <c r="F60" s="48"/>
      <c r="G60" s="48"/>
      <c r="H60" s="48"/>
      <c r="I60" s="392"/>
      <c r="K60" s="49"/>
      <c r="M60" s="50"/>
      <c r="N60" s="396"/>
    </row>
    <row r="61" spans="1:26">
      <c r="A61" s="48"/>
      <c r="B61" s="48"/>
      <c r="C61" s="48"/>
      <c r="D61" s="48"/>
      <c r="E61" s="48"/>
      <c r="F61" s="48"/>
      <c r="G61" s="48"/>
      <c r="H61" s="48"/>
      <c r="I61" s="394"/>
      <c r="K61" s="49"/>
      <c r="M61" s="50"/>
      <c r="N61" s="396"/>
    </row>
    <row r="62" spans="1:26">
      <c r="A62" s="48"/>
      <c r="B62" s="48"/>
      <c r="C62" s="48"/>
      <c r="D62" s="48"/>
      <c r="E62" s="48"/>
      <c r="F62" s="48"/>
      <c r="G62" s="48"/>
      <c r="H62" s="48"/>
      <c r="I62" s="392"/>
      <c r="K62" s="49"/>
      <c r="M62" s="50"/>
      <c r="N62" s="396"/>
    </row>
    <row r="63" spans="1:26">
      <c r="A63" s="48"/>
      <c r="B63" s="48"/>
      <c r="C63" s="48"/>
      <c r="D63" s="48"/>
      <c r="E63" s="48"/>
      <c r="F63" s="48"/>
      <c r="G63" s="48"/>
      <c r="H63" s="48"/>
      <c r="I63" s="392"/>
      <c r="K63" s="49"/>
      <c r="M63" s="50"/>
      <c r="N63" s="396"/>
    </row>
    <row r="64" spans="1:26">
      <c r="A64" s="51"/>
      <c r="B64" s="52"/>
      <c r="C64" s="51"/>
      <c r="D64" s="48"/>
      <c r="E64" s="48"/>
      <c r="F64" s="49"/>
      <c r="G64" s="48"/>
      <c r="H64" s="50"/>
      <c r="I64" s="392"/>
      <c r="Z64" s="43"/>
    </row>
    <row r="65" spans="1:26">
      <c r="A65" s="51"/>
      <c r="B65" s="52"/>
      <c r="C65" s="51"/>
      <c r="D65" s="48"/>
      <c r="E65" s="48"/>
      <c r="F65" s="49"/>
      <c r="G65" s="48"/>
      <c r="H65" s="50"/>
      <c r="I65" s="392"/>
      <c r="Z65" s="43"/>
    </row>
    <row r="66" spans="1:26">
      <c r="A66" s="51"/>
      <c r="B66" s="52"/>
      <c r="C66" s="51"/>
      <c r="D66" s="48"/>
      <c r="E66" s="48"/>
      <c r="F66" s="49"/>
      <c r="G66" s="48"/>
      <c r="H66" s="50"/>
      <c r="I66" s="392"/>
      <c r="Z66" s="43"/>
    </row>
    <row r="67" spans="1:26">
      <c r="A67" s="51"/>
      <c r="B67" s="52"/>
      <c r="C67" s="51"/>
      <c r="D67" s="48"/>
      <c r="E67" s="48"/>
      <c r="F67" s="49"/>
      <c r="G67" s="48"/>
      <c r="H67" s="50"/>
      <c r="I67" s="392"/>
      <c r="Z67" s="43"/>
    </row>
    <row r="68" spans="1:26">
      <c r="A68" s="51"/>
      <c r="B68" s="52"/>
      <c r="C68" s="51"/>
      <c r="D68" s="48"/>
      <c r="E68" s="48"/>
      <c r="F68" s="49"/>
      <c r="G68" s="48"/>
      <c r="H68" s="50"/>
      <c r="I68" s="392"/>
      <c r="Z68" s="43"/>
    </row>
    <row r="69" spans="1:26">
      <c r="A69" s="51"/>
      <c r="B69" s="52"/>
      <c r="C69" s="51"/>
      <c r="D69" s="48"/>
      <c r="E69" s="48"/>
      <c r="F69" s="49"/>
      <c r="G69" s="48"/>
      <c r="H69" s="50"/>
      <c r="I69" s="392"/>
      <c r="Z69" s="43"/>
    </row>
    <row r="70" spans="1:26">
      <c r="A70" s="51"/>
      <c r="B70" s="52"/>
      <c r="C70" s="51"/>
      <c r="D70" s="48"/>
      <c r="E70" s="48"/>
      <c r="F70" s="49"/>
      <c r="G70" s="48"/>
      <c r="H70" s="50"/>
      <c r="I70" s="392"/>
      <c r="Z70" s="43"/>
    </row>
    <row r="71" spans="1:26">
      <c r="A71" s="51"/>
      <c r="B71" s="52"/>
      <c r="C71" s="51"/>
      <c r="D71" s="48"/>
      <c r="E71" s="48"/>
      <c r="F71" s="49"/>
      <c r="G71" s="48"/>
      <c r="H71" s="50"/>
      <c r="I71" s="392"/>
      <c r="Z71" s="43"/>
    </row>
    <row r="72" spans="1:26">
      <c r="A72" s="51"/>
      <c r="B72" s="52"/>
      <c r="C72" s="51"/>
      <c r="D72" s="48"/>
      <c r="E72" s="48"/>
      <c r="F72" s="49"/>
      <c r="G72" s="48"/>
      <c r="H72" s="50"/>
      <c r="I72" s="392"/>
      <c r="Z72" s="43"/>
    </row>
    <row r="73" spans="1:26">
      <c r="A73" s="51"/>
      <c r="B73" s="52"/>
      <c r="C73" s="51"/>
      <c r="D73" s="48"/>
      <c r="E73" s="48"/>
      <c r="F73" s="49"/>
      <c r="G73" s="48"/>
      <c r="H73" s="50"/>
      <c r="I73" s="392"/>
      <c r="Z73" s="43"/>
    </row>
    <row r="74" spans="1:26">
      <c r="A74" s="51"/>
      <c r="B74" s="52"/>
      <c r="C74" s="51"/>
      <c r="D74" s="48"/>
      <c r="E74" s="48"/>
      <c r="F74" s="49"/>
      <c r="G74" s="48"/>
      <c r="H74" s="50"/>
      <c r="I74" s="392"/>
      <c r="Z74" s="43"/>
    </row>
    <row r="75" spans="1:26">
      <c r="A75" s="51"/>
      <c r="B75" s="52"/>
      <c r="C75" s="51"/>
      <c r="D75" s="48"/>
      <c r="E75" s="48"/>
      <c r="F75" s="49"/>
      <c r="G75" s="48"/>
      <c r="H75" s="50"/>
      <c r="I75" s="392"/>
      <c r="Z75" s="43"/>
    </row>
    <row r="76" spans="1:26">
      <c r="A76" s="51"/>
      <c r="B76" s="52"/>
      <c r="C76" s="51"/>
      <c r="D76" s="48"/>
      <c r="E76" s="48"/>
      <c r="F76" s="49"/>
      <c r="G76" s="48"/>
      <c r="H76" s="50"/>
      <c r="I76" s="392"/>
      <c r="Z76" s="43"/>
    </row>
    <row r="77" spans="1:26">
      <c r="A77" s="51"/>
      <c r="B77" s="52"/>
      <c r="C77" s="51"/>
      <c r="D77" s="48"/>
      <c r="E77" s="48"/>
      <c r="F77" s="49"/>
      <c r="G77" s="48"/>
      <c r="H77" s="50"/>
      <c r="I77" s="392"/>
      <c r="Z77" s="43"/>
    </row>
    <row r="78" spans="1:26">
      <c r="A78" s="52"/>
      <c r="B78" s="52"/>
      <c r="C78" s="51"/>
      <c r="D78" s="48"/>
      <c r="E78" s="48"/>
      <c r="F78" s="49"/>
      <c r="G78" s="48"/>
      <c r="H78" s="50"/>
      <c r="I78" s="392"/>
    </row>
    <row r="79" spans="1:26">
      <c r="A79" s="96"/>
      <c r="B79" s="96"/>
      <c r="C79" s="96"/>
      <c r="D79" s="96"/>
      <c r="E79" s="96"/>
      <c r="F79" s="96"/>
      <c r="G79" s="96"/>
      <c r="H79" s="96"/>
      <c r="I79" s="391"/>
    </row>
    <row r="80" spans="1:26" s="3" customFormat="1" ht="15">
      <c r="A80" s="54"/>
      <c r="B80" s="54"/>
      <c r="C80" s="54"/>
      <c r="D80" s="54"/>
      <c r="E80" s="54"/>
      <c r="F80" s="56"/>
      <c r="G80" s="54"/>
      <c r="H80" s="57"/>
      <c r="I80" s="393"/>
      <c r="J80" s="54"/>
      <c r="K80" s="54"/>
      <c r="L80" s="54"/>
      <c r="M80" s="54"/>
      <c r="N80" s="54"/>
      <c r="O80" s="54"/>
      <c r="P80" s="54"/>
      <c r="Q80" s="54"/>
      <c r="R80" s="54"/>
      <c r="S80" s="54"/>
      <c r="T80" s="54"/>
    </row>
    <row r="81" spans="1:28" s="3" customFormat="1" ht="15">
      <c r="A81" s="54"/>
      <c r="B81" s="54"/>
      <c r="C81" s="54"/>
      <c r="D81" s="54"/>
      <c r="E81" s="54"/>
      <c r="F81" s="56"/>
      <c r="G81" s="54"/>
      <c r="H81" s="57"/>
      <c r="I81" s="393"/>
      <c r="J81" s="54"/>
      <c r="K81" s="54"/>
      <c r="L81" s="54"/>
      <c r="M81" s="54"/>
      <c r="N81" s="54"/>
      <c r="O81" s="54"/>
      <c r="P81" s="54"/>
      <c r="Q81" s="54"/>
      <c r="R81" s="54"/>
      <c r="S81" s="54"/>
      <c r="T81" s="54"/>
    </row>
    <row r="82" spans="1:28" s="3" customFormat="1" ht="15">
      <c r="F82" s="18"/>
      <c r="H82" s="19"/>
      <c r="J82" s="54"/>
      <c r="K82" s="54"/>
      <c r="L82" s="54"/>
      <c r="M82" s="54"/>
      <c r="N82" s="54"/>
      <c r="O82" s="54"/>
      <c r="P82" s="54"/>
      <c r="Q82" s="54"/>
      <c r="R82" s="54"/>
      <c r="S82" s="54"/>
      <c r="T82" s="54"/>
    </row>
    <row r="86" spans="1:28">
      <c r="D86" s="14"/>
    </row>
    <row r="92" spans="1:28" s="13" customFormat="1" ht="13.5" customHeight="1">
      <c r="A92"/>
      <c r="B92"/>
      <c r="C92"/>
      <c r="D92"/>
      <c r="E92"/>
      <c r="F92" s="8"/>
      <c r="G92"/>
      <c r="H92" s="17"/>
      <c r="I92"/>
      <c r="J92" s="48"/>
      <c r="K92" s="48"/>
      <c r="L92" s="48"/>
      <c r="M92" s="48"/>
      <c r="N92" s="48"/>
      <c r="O92" s="48"/>
      <c r="P92" s="48"/>
      <c r="Q92" s="48"/>
      <c r="R92" s="48"/>
      <c r="S92" s="48"/>
      <c r="T92" s="48"/>
      <c r="U92"/>
      <c r="V92"/>
      <c r="W92"/>
      <c r="X92"/>
      <c r="Y92"/>
      <c r="Z92"/>
      <c r="AA92"/>
      <c r="AB92"/>
    </row>
    <row r="97" spans="1:28" s="13" customFormat="1" ht="10.5" customHeight="1">
      <c r="A97"/>
      <c r="B97"/>
      <c r="C97"/>
      <c r="D97"/>
      <c r="E97"/>
      <c r="F97" s="8"/>
      <c r="G97"/>
      <c r="H97" s="17"/>
      <c r="I97"/>
      <c r="J97" s="48"/>
      <c r="K97" s="48"/>
      <c r="L97" s="48"/>
      <c r="M97" s="48"/>
      <c r="N97" s="48"/>
      <c r="O97" s="48"/>
      <c r="P97" s="48"/>
      <c r="Q97" s="48"/>
      <c r="R97" s="48"/>
      <c r="S97" s="48"/>
      <c r="T97" s="48"/>
      <c r="U97"/>
      <c r="V97"/>
      <c r="W97"/>
      <c r="X97"/>
      <c r="Y97"/>
      <c r="Z97"/>
      <c r="AA97"/>
      <c r="AB97"/>
    </row>
    <row r="102" spans="1:28" s="13" customFormat="1" ht="10.5" customHeight="1">
      <c r="A102"/>
      <c r="B102"/>
      <c r="C102"/>
      <c r="D102"/>
      <c r="E102"/>
      <c r="F102" s="8"/>
      <c r="G102"/>
      <c r="H102" s="17"/>
      <c r="I102"/>
      <c r="J102" s="48"/>
      <c r="K102" s="48"/>
      <c r="L102" s="48"/>
      <c r="M102" s="48"/>
      <c r="N102" s="48"/>
      <c r="O102" s="48"/>
      <c r="P102" s="48"/>
      <c r="Q102" s="48"/>
      <c r="R102" s="48"/>
      <c r="S102" s="48"/>
      <c r="T102" s="48"/>
      <c r="U102"/>
      <c r="V102"/>
      <c r="W102"/>
      <c r="X102"/>
      <c r="Y102"/>
      <c r="Z102"/>
      <c r="AA102"/>
      <c r="AB102"/>
    </row>
    <row r="105" spans="1:28" s="13" customFormat="1">
      <c r="A105" s="33"/>
      <c r="B105" s="33"/>
      <c r="C105" s="34"/>
      <c r="D105" s="32"/>
      <c r="E105" s="32"/>
      <c r="F105" s="35"/>
      <c r="G105" s="32"/>
      <c r="H105" s="36"/>
      <c r="I105"/>
      <c r="J105" s="48"/>
      <c r="K105" s="48"/>
      <c r="L105" s="48"/>
      <c r="M105" s="48"/>
      <c r="N105" s="48"/>
      <c r="O105" s="48"/>
      <c r="P105" s="48"/>
      <c r="Q105" s="48"/>
      <c r="R105" s="48"/>
      <c r="S105" s="48"/>
      <c r="T105" s="48"/>
      <c r="U105"/>
      <c r="V105"/>
      <c r="W105"/>
      <c r="X105"/>
      <c r="Y105"/>
      <c r="Z105"/>
      <c r="AA105"/>
      <c r="AB105"/>
    </row>
    <row r="108" spans="1:28" ht="9.75" customHeight="1"/>
    <row r="110" spans="1:28" ht="18.75" customHeight="1"/>
    <row r="112" spans="1:28" ht="10.5" customHeight="1"/>
  </sheetData>
  <sheetProtection formatRows="0"/>
  <hyperlinks>
    <hyperlink ref="B42" r:id="rId1" xr:uid="{FD2444EE-49F7-432C-8ABE-1704ECAB74B8}"/>
    <hyperlink ref="H42" r:id="rId2" display="HKS-Consult.dk" xr:uid="{6AE3BC29-D704-4CA2-8BBF-ACFC5053AF4E}"/>
  </hyperlinks>
  <pageMargins left="0.59055118110236227" right="0.23622047244094491" top="0.98425196850393704" bottom="0.6692913385826772" header="0.35433070866141736" footer="0.27559055118110237"/>
  <pageSetup paperSize="9" scale="95" orientation="landscape" horizontalDpi="4294967293" verticalDpi="96" r:id="rId3"/>
  <headerFooter alignWithMargins="0">
    <oddHeader xml:space="preserve">&amp;LUncertainty Analysis&amp;CRobust Budgets &amp; Plans&amp;R&amp;G
</oddHeader>
    <oddFooter>&amp;LDate: &amp;D
File: &amp;F&amp;C&amp;A&amp;RSide &amp;P/&amp;N</oddFooter>
  </headerFooter>
  <rowBreaks count="1" manualBreakCount="1">
    <brk id="43" max="8" man="1"/>
  </rowBreaks>
  <drawing r:id="rId4"/>
  <legacyDrawingHF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FF00"/>
  </sheetPr>
  <dimension ref="A1:BO199"/>
  <sheetViews>
    <sheetView zoomScale="75" zoomScaleNormal="75" workbookViewId="0">
      <pane ySplit="8" topLeftCell="A9" activePane="bottomLeft" state="frozen"/>
      <selection pane="bottomLeft" activeCell="BP7" sqref="BP7"/>
    </sheetView>
  </sheetViews>
  <sheetFormatPr defaultRowHeight="12.45"/>
  <cols>
    <col min="1" max="2" width="7.07421875" customWidth="1"/>
    <col min="3" max="3" width="35.3046875" customWidth="1"/>
    <col min="4" max="4" width="9.3046875" bestFit="1" customWidth="1"/>
    <col min="5" max="5" width="9.69140625" customWidth="1"/>
    <col min="6" max="6" width="9.3046875" bestFit="1" customWidth="1"/>
    <col min="7" max="7" width="4.07421875" customWidth="1"/>
    <col min="8" max="8" width="9.3046875" customWidth="1"/>
    <col min="9" max="9" width="9.53515625" customWidth="1"/>
    <col min="10" max="10" width="10.4609375" style="13" hidden="1" customWidth="1"/>
    <col min="11" max="11" width="10.07421875" customWidth="1"/>
    <col min="12" max="12" width="9.69140625" style="8" customWidth="1"/>
    <col min="13" max="13" width="6.4609375" customWidth="1"/>
    <col min="14" max="14" width="56.3828125" style="17" customWidth="1"/>
    <col min="15" max="16" width="9.07421875" style="13" customWidth="1"/>
    <col min="17" max="17" width="11.4609375" style="13" hidden="1" customWidth="1"/>
    <col min="18" max="19" width="9.07421875" hidden="1" customWidth="1"/>
    <col min="20" max="20" width="16.921875" hidden="1" customWidth="1"/>
    <col min="21" max="21" width="11.3046875" hidden="1" customWidth="1"/>
    <col min="22" max="36" width="9.07421875" hidden="1" customWidth="1"/>
    <col min="37" max="41" width="8.69140625" hidden="1" customWidth="1"/>
    <col min="42" max="42" width="38.84375" hidden="1" customWidth="1"/>
    <col min="43" max="47" width="9.07421875" hidden="1" customWidth="1"/>
    <col min="48" max="48" width="5.53515625" hidden="1" customWidth="1"/>
    <col min="49" max="50" width="9.07421875" hidden="1" customWidth="1"/>
    <col min="51" max="51" width="13.07421875" hidden="1" customWidth="1"/>
    <col min="52" max="52" width="3.61328125" hidden="1" customWidth="1"/>
    <col min="53" max="53" width="10.3046875" hidden="1" customWidth="1"/>
    <col min="54" max="54" width="9.07421875" hidden="1" customWidth="1"/>
    <col min="55" max="56" width="8.84375" hidden="1" customWidth="1"/>
    <col min="57" max="57" width="9.3828125" hidden="1" customWidth="1"/>
    <col min="58" max="67" width="8.84375" hidden="1" customWidth="1"/>
  </cols>
  <sheetData>
    <row r="1" spans="1:67" s="4" customFormat="1" ht="22.5" customHeight="1">
      <c r="A1" s="15" t="s">
        <v>127</v>
      </c>
      <c r="B1" s="15"/>
      <c r="E1" s="2"/>
      <c r="J1" s="12"/>
      <c r="N1" s="110"/>
      <c r="O1" s="12"/>
      <c r="P1" s="12"/>
      <c r="Q1" s="245" t="s">
        <v>76</v>
      </c>
      <c r="R1" s="245" t="s">
        <v>76</v>
      </c>
      <c r="S1" s="245" t="s">
        <v>76</v>
      </c>
      <c r="T1" s="245" t="s">
        <v>76</v>
      </c>
      <c r="U1" s="245" t="s">
        <v>76</v>
      </c>
      <c r="V1" s="245" t="s">
        <v>76</v>
      </c>
      <c r="W1" s="245" t="s">
        <v>76</v>
      </c>
      <c r="X1" s="245" t="s">
        <v>76</v>
      </c>
      <c r="Y1" s="245" t="s">
        <v>76</v>
      </c>
      <c r="Z1" s="245" t="s">
        <v>76</v>
      </c>
      <c r="AA1" s="245" t="s">
        <v>76</v>
      </c>
      <c r="AB1" s="245" t="s">
        <v>76</v>
      </c>
      <c r="AC1" s="245" t="s">
        <v>76</v>
      </c>
      <c r="AD1" s="245" t="s">
        <v>76</v>
      </c>
      <c r="AE1" s="245" t="s">
        <v>76</v>
      </c>
      <c r="AF1" s="245" t="s">
        <v>76</v>
      </c>
      <c r="AG1" s="245" t="s">
        <v>76</v>
      </c>
      <c r="AH1" s="245" t="s">
        <v>76</v>
      </c>
      <c r="AI1" s="245" t="s">
        <v>76</v>
      </c>
      <c r="AJ1" s="245" t="s">
        <v>76</v>
      </c>
      <c r="AK1" s="245" t="s">
        <v>76</v>
      </c>
      <c r="AL1" s="245" t="s">
        <v>76</v>
      </c>
      <c r="AM1" s="245" t="s">
        <v>76</v>
      </c>
      <c r="AN1" s="245" t="s">
        <v>76</v>
      </c>
      <c r="AO1" s="245" t="s">
        <v>76</v>
      </c>
      <c r="AP1" s="245" t="s">
        <v>76</v>
      </c>
      <c r="AQ1" s="245" t="s">
        <v>76</v>
      </c>
      <c r="AR1" s="245" t="s">
        <v>76</v>
      </c>
      <c r="AS1" s="245" t="s">
        <v>76</v>
      </c>
      <c r="AT1" s="245" t="s">
        <v>76</v>
      </c>
      <c r="AU1" s="245" t="s">
        <v>76</v>
      </c>
      <c r="AV1" s="245" t="s">
        <v>76</v>
      </c>
      <c r="AW1" s="245" t="s">
        <v>76</v>
      </c>
      <c r="AX1" s="245" t="s">
        <v>76</v>
      </c>
      <c r="AY1" s="245" t="s">
        <v>76</v>
      </c>
      <c r="AZ1" s="245" t="s">
        <v>76</v>
      </c>
      <c r="BA1" s="245" t="s">
        <v>76</v>
      </c>
      <c r="BB1" s="245" t="s">
        <v>76</v>
      </c>
      <c r="BC1" s="245" t="s">
        <v>76</v>
      </c>
      <c r="BD1" s="245" t="s">
        <v>76</v>
      </c>
      <c r="BE1" s="245" t="s">
        <v>76</v>
      </c>
      <c r="BF1" s="245" t="s">
        <v>76</v>
      </c>
      <c r="BG1" s="245" t="s">
        <v>76</v>
      </c>
      <c r="BH1" s="245" t="s">
        <v>76</v>
      </c>
      <c r="BI1" s="245" t="s">
        <v>76</v>
      </c>
      <c r="BJ1" s="245" t="s">
        <v>76</v>
      </c>
      <c r="BK1" s="245" t="s">
        <v>76</v>
      </c>
      <c r="BL1" s="245" t="s">
        <v>76</v>
      </c>
      <c r="BM1" s="245" t="s">
        <v>76</v>
      </c>
      <c r="BN1" s="245" t="s">
        <v>76</v>
      </c>
      <c r="BO1" s="245" t="s">
        <v>76</v>
      </c>
    </row>
    <row r="2" spans="1:67" ht="20.399999999999999" customHeight="1">
      <c r="A2" s="389" t="s">
        <v>167</v>
      </c>
      <c r="B2" s="389"/>
      <c r="C2" s="389"/>
      <c r="D2" s="32"/>
      <c r="E2" s="32"/>
      <c r="F2" s="32"/>
      <c r="G2" s="32"/>
      <c r="H2" s="317"/>
      <c r="I2" s="317"/>
      <c r="J2" s="317"/>
      <c r="K2" s="317"/>
      <c r="L2" s="317"/>
      <c r="M2" s="32"/>
      <c r="N2" s="331" t="s">
        <v>166</v>
      </c>
      <c r="O2" s="32"/>
      <c r="P2" s="331"/>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c r="AU2" s="204"/>
      <c r="AV2" s="204"/>
      <c r="AW2" s="204"/>
      <c r="AX2" s="204"/>
      <c r="AY2" s="204"/>
      <c r="AZ2" s="204"/>
      <c r="BA2" s="204"/>
      <c r="BJ2" s="261" t="s">
        <v>81</v>
      </c>
      <c r="BK2" s="262" t="s">
        <v>80</v>
      </c>
      <c r="BL2" s="261"/>
      <c r="BM2" s="263"/>
      <c r="BO2" s="265" t="s">
        <v>235</v>
      </c>
    </row>
    <row r="3" spans="1:67" ht="15.45">
      <c r="I3" s="363"/>
      <c r="O3" s="94" t="str">
        <f>+$L$10</f>
        <v>P %</v>
      </c>
      <c r="P3"/>
      <c r="Q3" s="383" t="s">
        <v>163</v>
      </c>
      <c r="BB3" s="13"/>
      <c r="BJ3" s="267">
        <v>3</v>
      </c>
      <c r="BK3" s="268">
        <v>2.9</v>
      </c>
      <c r="BL3" s="267"/>
      <c r="BM3" s="267"/>
      <c r="BO3" s="269">
        <v>2</v>
      </c>
    </row>
    <row r="4" spans="1:67" ht="22.75">
      <c r="A4" s="2" t="s">
        <v>169</v>
      </c>
      <c r="B4" s="2"/>
      <c r="D4" s="27" t="s">
        <v>170</v>
      </c>
      <c r="E4" s="28"/>
      <c r="F4" s="28"/>
      <c r="G4" s="28"/>
      <c r="H4" s="28"/>
      <c r="O4" s="11" t="s">
        <v>132</v>
      </c>
      <c r="P4" s="11" t="s">
        <v>133</v>
      </c>
      <c r="BA4" s="264" t="str">
        <f>+C10</f>
        <v>General Uncertainties</v>
      </c>
      <c r="BJ4" s="267">
        <v>5</v>
      </c>
      <c r="BK4" s="268">
        <v>4.9000000000000004</v>
      </c>
      <c r="BL4" s="267"/>
      <c r="BM4" s="267"/>
      <c r="BO4" s="269">
        <v>3</v>
      </c>
    </row>
    <row r="5" spans="1:67" ht="20.149999999999999">
      <c r="A5" s="4" t="s">
        <v>129</v>
      </c>
      <c r="B5" s="177"/>
      <c r="H5" s="41"/>
      <c r="O5" s="104">
        <v>0.3</v>
      </c>
      <c r="P5" s="105" t="s">
        <v>59</v>
      </c>
      <c r="AZ5" s="260" t="s">
        <v>102</v>
      </c>
      <c r="BA5" s="316">
        <f>+SUMIFS($H$11:$H$22,$H$11:$H$22,"&lt;0")</f>
        <v>-4</v>
      </c>
      <c r="BJ5" s="267">
        <v>5</v>
      </c>
      <c r="BK5" s="268">
        <v>4.6500000000000004</v>
      </c>
      <c r="BL5" s="267"/>
      <c r="BM5" s="267"/>
      <c r="BO5" s="269">
        <v>4</v>
      </c>
    </row>
    <row r="6" spans="1:67" ht="19.75">
      <c r="C6" s="6"/>
      <c r="E6" s="212" t="str">
        <f t="shared" ref="E6" si="0">F24</f>
        <v>Analyse Uncertainty=</v>
      </c>
      <c r="F6" s="255">
        <f>UncertaintyAnalysis</f>
        <v>0.12719386838943902</v>
      </c>
      <c r="H6" s="351"/>
      <c r="I6" s="360"/>
      <c r="O6" s="104">
        <v>0.1</v>
      </c>
      <c r="P6" s="106" t="s">
        <v>59</v>
      </c>
      <c r="R6" s="137">
        <f ca="1">+SUM(R11:R50)</f>
        <v>577</v>
      </c>
      <c r="S6" s="137"/>
      <c r="T6" s="136"/>
      <c r="U6" s="137">
        <f ca="1">+SUM(U11:U50)</f>
        <v>561</v>
      </c>
      <c r="V6" s="136"/>
      <c r="W6" s="136"/>
      <c r="X6" s="136"/>
      <c r="Y6" s="136"/>
      <c r="AJ6" s="240"/>
      <c r="AK6" s="240"/>
      <c r="AL6" s="241" t="s">
        <v>74</v>
      </c>
      <c r="AM6" s="240"/>
      <c r="AN6" s="240"/>
      <c r="AO6" s="240"/>
      <c r="AP6" s="240"/>
      <c r="AQ6" s="240"/>
      <c r="AR6" s="240"/>
      <c r="AS6" s="240"/>
      <c r="AT6" s="240"/>
      <c r="AU6" s="240"/>
      <c r="AV6" s="240"/>
      <c r="AW6" s="240"/>
      <c r="AX6" s="240"/>
      <c r="AY6" s="240"/>
      <c r="AZ6" s="260" t="s">
        <v>103</v>
      </c>
      <c r="BA6" s="316">
        <f>+SUMIFS($H$11:$H$22,$H$11:$H$22,"&gt;0")</f>
        <v>124.5</v>
      </c>
    </row>
    <row r="7" spans="1:67" ht="15.9" thickBot="1">
      <c r="G7" s="7"/>
      <c r="O7" s="104">
        <v>0.02</v>
      </c>
      <c r="P7" s="107" t="s">
        <v>59</v>
      </c>
      <c r="R7" s="136"/>
      <c r="S7" s="205" t="s">
        <v>34</v>
      </c>
      <c r="T7" s="206">
        <v>9.9999999999999995E-8</v>
      </c>
      <c r="U7" s="136"/>
      <c r="V7" s="136"/>
      <c r="W7" s="136"/>
      <c r="X7" s="235" t="s">
        <v>70</v>
      </c>
      <c r="Y7" s="136"/>
      <c r="AE7" s="235" t="str">
        <f>$X$7</f>
        <v>Tornado Diagram Data</v>
      </c>
      <c r="AM7" s="235" t="str">
        <f>$X$8</f>
        <v>% estimated Min/ML/Max</v>
      </c>
    </row>
    <row r="8" spans="1:67" ht="17.600000000000001" thickTop="1" thickBot="1">
      <c r="A8" s="385" t="s">
        <v>131</v>
      </c>
      <c r="B8" s="60"/>
      <c r="C8" s="28"/>
      <c r="D8" s="304">
        <f t="shared" ref="D8:F8" si="1">D68</f>
        <v>342.40998134885314</v>
      </c>
      <c r="E8" s="305">
        <f t="shared" si="1"/>
        <v>493.96029029999994</v>
      </c>
      <c r="F8" s="306">
        <f t="shared" si="1"/>
        <v>645.51059925114669</v>
      </c>
      <c r="H8" s="258">
        <f>$H$68</f>
        <v>0.1227226657099135</v>
      </c>
      <c r="I8" s="172">
        <f>$J$68</f>
        <v>60.620123580458717</v>
      </c>
      <c r="J8" s="121"/>
      <c r="R8" s="26" t="s">
        <v>35</v>
      </c>
      <c r="S8" s="26"/>
      <c r="X8" s="236" t="s">
        <v>71</v>
      </c>
      <c r="AD8" s="237" t="s">
        <v>72</v>
      </c>
      <c r="AF8" s="238" t="s">
        <v>73</v>
      </c>
      <c r="AL8" s="237" t="str">
        <f>+$AD$8</f>
        <v>% Share</v>
      </c>
      <c r="AN8" s="238" t="s">
        <v>75</v>
      </c>
    </row>
    <row r="9" spans="1:67" ht="15.9" thickTop="1">
      <c r="G9" s="7"/>
      <c r="K9" s="121"/>
      <c r="N9" s="1" t="s">
        <v>136</v>
      </c>
      <c r="R9" s="13"/>
      <c r="S9" s="13"/>
      <c r="T9" s="13"/>
      <c r="U9" s="137">
        <v>1</v>
      </c>
      <c r="V9" s="137">
        <f t="shared" ref="V9:AA9" si="2">+U9+1</f>
        <v>2</v>
      </c>
      <c r="W9" s="137">
        <f t="shared" si="2"/>
        <v>3</v>
      </c>
      <c r="X9" s="137">
        <f t="shared" si="2"/>
        <v>4</v>
      </c>
      <c r="Y9" s="137">
        <f t="shared" si="2"/>
        <v>5</v>
      </c>
      <c r="Z9" s="137">
        <f t="shared" si="2"/>
        <v>6</v>
      </c>
      <c r="AA9" s="137">
        <f t="shared" si="2"/>
        <v>7</v>
      </c>
      <c r="AB9" s="137">
        <f t="shared" ref="AB9" si="3">+AA9+1</f>
        <v>8</v>
      </c>
      <c r="AC9" s="137">
        <f t="shared" ref="AC9" si="4">+AB9+1</f>
        <v>9</v>
      </c>
      <c r="AD9" s="137">
        <f t="shared" ref="AD9" si="5">+AC9+1</f>
        <v>10</v>
      </c>
      <c r="AE9" s="137">
        <f t="shared" ref="AE9" si="6">+AD9+1</f>
        <v>11</v>
      </c>
      <c r="AF9" s="137">
        <f t="shared" ref="AF9" si="7">+AE9+1</f>
        <v>12</v>
      </c>
      <c r="AI9" s="137"/>
      <c r="AJ9" s="231" t="s">
        <v>41</v>
      </c>
      <c r="AK9" s="231"/>
      <c r="AO9" s="231"/>
      <c r="AP9" s="231" t="s">
        <v>41</v>
      </c>
      <c r="AQ9" s="207"/>
      <c r="AR9" s="207"/>
      <c r="AS9" s="207"/>
      <c r="AU9" s="207"/>
      <c r="AV9" s="207"/>
      <c r="AW9" s="207"/>
      <c r="AX9" s="207"/>
      <c r="AY9" s="208" t="s">
        <v>56</v>
      </c>
      <c r="AZ9" s="207"/>
    </row>
    <row r="10" spans="1:67" s="63" customFormat="1" ht="15.45">
      <c r="A10" s="160" t="s">
        <v>51</v>
      </c>
      <c r="B10" s="160" t="s">
        <v>117</v>
      </c>
      <c r="C10" s="161" t="s">
        <v>134</v>
      </c>
      <c r="D10" s="345" t="s">
        <v>0</v>
      </c>
      <c r="E10" s="271" t="s">
        <v>91</v>
      </c>
      <c r="F10" s="272" t="s">
        <v>1</v>
      </c>
      <c r="H10" s="252" t="s">
        <v>2</v>
      </c>
      <c r="I10" s="166" t="s">
        <v>92</v>
      </c>
      <c r="J10" s="167" t="s">
        <v>49</v>
      </c>
      <c r="K10" s="167" t="s">
        <v>44</v>
      </c>
      <c r="L10" s="171" t="str">
        <f>+L26</f>
        <v>P %</v>
      </c>
      <c r="N10" s="170" t="s">
        <v>135</v>
      </c>
      <c r="O10" s="166" t="s">
        <v>137</v>
      </c>
      <c r="P10" s="13"/>
      <c r="Q10" s="210" t="s">
        <v>61</v>
      </c>
      <c r="R10" s="210" t="s">
        <v>36</v>
      </c>
      <c r="S10" s="210" t="s">
        <v>46</v>
      </c>
      <c r="T10" s="211" t="str">
        <f>+L10</f>
        <v>P %</v>
      </c>
      <c r="U10" s="210" t="s">
        <v>38</v>
      </c>
      <c r="V10" s="211" t="str">
        <f>+L10</f>
        <v>P %</v>
      </c>
      <c r="W10" s="211" t="str">
        <f>+$D$26</f>
        <v>Min</v>
      </c>
      <c r="X10" s="211" t="str">
        <f>+$E$26</f>
        <v>M.L.</v>
      </c>
      <c r="Y10" s="211" t="str">
        <f>+$F$26</f>
        <v>Max</v>
      </c>
      <c r="Z10" s="211" t="s">
        <v>39</v>
      </c>
      <c r="AA10" s="211" t="s">
        <v>40</v>
      </c>
      <c r="AB10" s="211"/>
      <c r="AC10" s="211"/>
      <c r="AD10" s="211" t="str">
        <f>+$D$26</f>
        <v>Min</v>
      </c>
      <c r="AE10" s="211" t="str">
        <f>+$H$26</f>
        <v>Mean</v>
      </c>
      <c r="AF10" s="210" t="str">
        <f>+$F$26</f>
        <v>Max</v>
      </c>
      <c r="AG10" s="239" t="str">
        <f>+$L$10</f>
        <v>P %</v>
      </c>
      <c r="AH10" s="211" t="s">
        <v>6</v>
      </c>
      <c r="AI10" s="211"/>
      <c r="AJ10" s="211" t="s">
        <v>37</v>
      </c>
      <c r="AK10" s="211"/>
      <c r="AL10" s="211" t="str">
        <f>+$D$26</f>
        <v>Min</v>
      </c>
      <c r="AM10" s="211" t="str">
        <f>+$H$26</f>
        <v>Mean</v>
      </c>
      <c r="AN10" s="210" t="str">
        <f>+$F$26</f>
        <v>Max</v>
      </c>
      <c r="AO10" s="211"/>
      <c r="AP10" s="211" t="s">
        <v>40</v>
      </c>
      <c r="AQ10" s="211"/>
      <c r="AR10" s="211" t="str">
        <f>+L10</f>
        <v>P %</v>
      </c>
      <c r="AS10" s="211" t="str">
        <f>+$D$26</f>
        <v>Min</v>
      </c>
      <c r="AT10" s="210" t="str">
        <f>+$F$26</f>
        <v>Max</v>
      </c>
      <c r="AU10" s="211" t="str">
        <f>+$E$26</f>
        <v>M.L.</v>
      </c>
      <c r="AV10" s="211"/>
      <c r="AW10" s="211" t="str">
        <f>+$D$26</f>
        <v>Min</v>
      </c>
      <c r="AX10" s="211" t="str">
        <f>+$E$26</f>
        <v>M.L.</v>
      </c>
      <c r="AY10" s="210" t="str">
        <f>+$F$26</f>
        <v>Max</v>
      </c>
      <c r="AZ10" s="212"/>
      <c r="BA10" s="315" t="s">
        <v>105</v>
      </c>
      <c r="BB10" s="162" t="str">
        <f>+$D$26</f>
        <v>Min</v>
      </c>
      <c r="BC10" s="163" t="str">
        <f>+$E$26</f>
        <v>M.L.</v>
      </c>
      <c r="BD10" s="164" t="str">
        <f>+$F$26</f>
        <v>Max</v>
      </c>
      <c r="BE10" s="165" t="str">
        <f>+$H$26</f>
        <v>Mean</v>
      </c>
      <c r="BF10" s="315" t="s">
        <v>3</v>
      </c>
      <c r="BG10" s="315" t="s">
        <v>55</v>
      </c>
      <c r="BH10" s="320" t="s">
        <v>106</v>
      </c>
      <c r="BI10" s="321" t="s">
        <v>107</v>
      </c>
    </row>
    <row r="11" spans="1:67" ht="17.399999999999999" customHeight="1">
      <c r="A11" s="88" t="s">
        <v>52</v>
      </c>
      <c r="B11" s="88">
        <v>1</v>
      </c>
      <c r="C11" s="70" t="s">
        <v>209</v>
      </c>
      <c r="D11" s="257">
        <v>-35</v>
      </c>
      <c r="E11" s="257">
        <v>10</v>
      </c>
      <c r="F11" s="257">
        <v>75</v>
      </c>
      <c r="H11" s="312">
        <f t="shared" ref="H11:H22" si="8">$B11*(D11+FaktorA*E11+F11)/DivisorA</f>
        <v>14</v>
      </c>
      <c r="I11" s="313">
        <f t="shared" ref="I11:I22" si="9">+$B11*(F11-D11)/DivisorB</f>
        <v>22</v>
      </c>
      <c r="J11" s="197">
        <v>1</v>
      </c>
      <c r="K11" s="69">
        <f t="shared" ref="K11:K22" si="10">+I11*I11*J11</f>
        <v>484</v>
      </c>
      <c r="L11" s="86">
        <f t="shared" ref="L11:L22" si="11">+(IF(GrandTotal_Priority&lt;&gt;0,K11/GrandTotal_Priority,0))</f>
        <v>0.13170787016316482</v>
      </c>
      <c r="M11" s="67"/>
      <c r="N11" s="102" t="s">
        <v>180</v>
      </c>
      <c r="O11" s="384">
        <f t="shared" ref="O11:O22" si="12">+(ABS(BD11-BC11)-ABS(BC11-BB11))</f>
        <v>6.5429910498425281E-2</v>
      </c>
      <c r="Q11" s="213">
        <v>1</v>
      </c>
      <c r="R11" s="213">
        <f t="shared" ref="R11:S22" ca="1" si="13">+SUM(INDIRECT("q10:q"&amp;ROW()-0))</f>
        <v>1</v>
      </c>
      <c r="S11" s="371">
        <f t="shared" ca="1" si="13"/>
        <v>1</v>
      </c>
      <c r="T11" s="242">
        <f t="shared" ref="T11:T22" ca="1" si="14">+L11+R11*deltaId</f>
        <v>0.13170797016316482</v>
      </c>
      <c r="U11" s="213">
        <f t="shared" ref="U11:U22" ca="1" si="15">+RANK(T11,T$11:T$52)</f>
        <v>2</v>
      </c>
      <c r="V11" s="215">
        <f>+L11</f>
        <v>0.13170787016316482</v>
      </c>
      <c r="W11" s="216">
        <f t="shared" ref="W11:W22" si="16">+BB11</f>
        <v>0.88549765662775548</v>
      </c>
      <c r="X11" s="216">
        <f t="shared" ref="X11:X22" si="17">+BC11</f>
        <v>1.0327149552492128</v>
      </c>
      <c r="Y11" s="216">
        <f t="shared" ref="Y11:Y22" si="18">+BD11</f>
        <v>1.2453621643690953</v>
      </c>
      <c r="Z11" s="217">
        <f t="shared" ref="Z11:Z22" si="19">+$BC$11</f>
        <v>1.0327149552492128</v>
      </c>
      <c r="AA11" s="218" t="str">
        <f>+CONCATENATE($Q$3,"(",A11,"): ",$C11)</f>
        <v>GU(A): Contracting strategy</v>
      </c>
      <c r="AB11" s="218"/>
      <c r="AC11" s="218"/>
      <c r="AD11" s="218">
        <f t="shared" ref="AD11:AD22" si="20">+$AE11-(1/2)*$K11/GrandTotal_Priority</f>
        <v>0.93414606491841756</v>
      </c>
      <c r="AE11" s="215">
        <v>1</v>
      </c>
      <c r="AF11" s="218">
        <f t="shared" ref="AF11:AF22" si="21">+$AE11+(1/2)*$K11/GrandTotal_Priority</f>
        <v>1.0658539350815823</v>
      </c>
      <c r="AG11" s="216">
        <f>+AF11-AD11</f>
        <v>0.13170787016316476</v>
      </c>
      <c r="AH11" s="216">
        <f>+AG11-L11</f>
        <v>0</v>
      </c>
      <c r="AI11" s="218"/>
      <c r="AJ11" s="219">
        <f t="shared" ref="AJ11:AJ22" ca="1" si="22">+VLOOKUP($R11,$U$11:$AA$52,$V$9,FALSE)</f>
        <v>0.21334497976843228</v>
      </c>
      <c r="AK11" s="219"/>
      <c r="AL11" s="216">
        <f t="shared" ref="AL11:AL22" ca="1" si="23">+VLOOKUP($R11,$U$11:$AF$52,AD$9,FALSE)</f>
        <v>0.89332751011578382</v>
      </c>
      <c r="AM11" s="216">
        <f t="shared" ref="AM11:AM22" ca="1" si="24">+VLOOKUP($R11,$U$11:$AF$52,AE$9,FALSE)</f>
        <v>1</v>
      </c>
      <c r="AN11" s="216">
        <f t="shared" ref="AN11:AN22" ca="1" si="25">+VLOOKUP($R11,$U$11:$AF$52,AF$9,FALSE)</f>
        <v>1.1066724898842162</v>
      </c>
      <c r="AO11" s="219"/>
      <c r="AP11" s="220" t="str">
        <f t="shared" ref="AP11:AP22" ca="1" si="26">+CONCATENATE("#",R11,": ",VLOOKUP($R11,$U$11:$AA$52,$AA$9,FALSE),", P= ",ROUND(AR11*100,1),"%")</f>
        <v>#1: GU(C): Compet. &amp; Experience level, P= 21,3%</v>
      </c>
      <c r="AQ11" s="220"/>
      <c r="AR11" s="219">
        <f t="shared" ref="AR11:AR22" ca="1" si="27">+VLOOKUP($R11,$U$11:$AA$52,$V$9,FALSE)</f>
        <v>0.21334497976843228</v>
      </c>
      <c r="AS11" s="219">
        <f t="shared" ref="AS11:AS22" ca="1" si="28">+VLOOKUP($R11,$U$11:$AA$52,$W$9,FALSE)</f>
        <v>0.83642522375393646</v>
      </c>
      <c r="AT11" s="219">
        <f t="shared" ref="AT11:AT22" ca="1" si="29">+VLOOKUP($R11,$U$11:$AA$52,$Y$9,FALSE)</f>
        <v>1.2944345972429145</v>
      </c>
      <c r="AU11" s="219">
        <f t="shared" ref="AU11:AU22" ca="1" si="30">+VLOOKUP($R11,$U$11:$AA$52,$X$9,FALSE)</f>
        <v>1.0327149552492128</v>
      </c>
      <c r="AV11" s="219"/>
      <c r="AW11" s="219">
        <f t="shared" ref="AW11:AW22" ca="1" si="31">+IF(OR($AS11&lt;&gt;0,$AT11&lt;&gt;0,$AU11&lt;&gt;0),$AS11,100%)</f>
        <v>0.83642522375393646</v>
      </c>
      <c r="AX11" s="219">
        <f t="shared" ref="AX11:AX22" ca="1" si="32">+IF(OR($AS11&lt;&gt;0,$AT11&lt;&gt;0,$AU11&lt;&gt;0),$AU11,100%)</f>
        <v>1.0327149552492128</v>
      </c>
      <c r="AY11" s="219">
        <f t="shared" ref="AY11:AY22" ca="1" si="33">+IF(OR($AS11&lt;&gt;0,$AT11&lt;&gt;0,$AU11&lt;&gt;0),$AT11,100%)</f>
        <v>1.2944345972429145</v>
      </c>
      <c r="AZ11" s="207"/>
      <c r="BA11" s="318">
        <f t="shared" ref="BA11:BA22" si="34">+IF($H11&lt;0,$BB$25,$BB$26)</f>
        <v>305.67059999999998</v>
      </c>
      <c r="BB11" s="319">
        <f>+(100%+IFERROR($B11*D11/$BA11,0%))</f>
        <v>0.88549765662775548</v>
      </c>
      <c r="BC11" s="319">
        <f>+(100%+IFERROR($B11*E11/$BA11,0%))</f>
        <v>1.0327149552492128</v>
      </c>
      <c r="BD11" s="319">
        <f>+(100%+IFERROR($B11*F11/$BA11,0%))</f>
        <v>1.2453621643690953</v>
      </c>
      <c r="BE11" s="93">
        <f>+(BB11+FaktorA*BC11+BD11)/DivisorA</f>
        <v>1.0458009373488979</v>
      </c>
      <c r="BF11" s="93">
        <f>+(BD11-BB11)/DivisorB</f>
        <v>7.1972901548267965E-2</v>
      </c>
      <c r="BG11" s="93">
        <f>+IFERROR($I11/$H11,0)</f>
        <v>1.5714285714285714</v>
      </c>
      <c r="BH11" s="259">
        <f>+IF($H11&gt;0,$BE11-100%,0%)</f>
        <v>4.5800937348897897E-2</v>
      </c>
      <c r="BI11" s="259">
        <f>+IF($H11&lt;=0,$BE11-100%,0%)</f>
        <v>0</v>
      </c>
    </row>
    <row r="12" spans="1:67" ht="15.45">
      <c r="A12" s="88" t="s">
        <v>53</v>
      </c>
      <c r="B12" s="88">
        <v>1</v>
      </c>
      <c r="C12" s="70" t="s">
        <v>210</v>
      </c>
      <c r="D12" s="257">
        <v>-25</v>
      </c>
      <c r="E12" s="257">
        <v>0</v>
      </c>
      <c r="F12" s="257">
        <v>50</v>
      </c>
      <c r="H12" s="312">
        <f t="shared" si="8"/>
        <v>5</v>
      </c>
      <c r="I12" s="313">
        <f t="shared" si="9"/>
        <v>15</v>
      </c>
      <c r="J12" s="197">
        <v>1</v>
      </c>
      <c r="K12" s="69">
        <f t="shared" si="10"/>
        <v>225</v>
      </c>
      <c r="L12" s="86">
        <f t="shared" si="11"/>
        <v>6.1227832203950588E-2</v>
      </c>
      <c r="M12" s="67"/>
      <c r="N12" s="102" t="s">
        <v>181</v>
      </c>
      <c r="O12" s="384">
        <f t="shared" si="12"/>
        <v>8.1787388123031768E-2</v>
      </c>
      <c r="Q12" s="213">
        <v>1</v>
      </c>
      <c r="R12" s="213">
        <f t="shared" ca="1" si="13"/>
        <v>2</v>
      </c>
      <c r="S12" s="213">
        <f t="shared" ca="1" si="13"/>
        <v>2</v>
      </c>
      <c r="T12" s="242">
        <f t="shared" ca="1" si="14"/>
        <v>6.1228032203950587E-2</v>
      </c>
      <c r="U12" s="213">
        <f t="shared" ca="1" si="15"/>
        <v>8</v>
      </c>
      <c r="V12" s="215">
        <f t="shared" ref="V12:V22" si="35">+L12</f>
        <v>6.1227832203950588E-2</v>
      </c>
      <c r="W12" s="216">
        <f t="shared" si="16"/>
        <v>0.91821261187696823</v>
      </c>
      <c r="X12" s="216">
        <f t="shared" si="17"/>
        <v>1</v>
      </c>
      <c r="Y12" s="216">
        <f t="shared" si="18"/>
        <v>1.1635747762460635</v>
      </c>
      <c r="Z12" s="217">
        <f t="shared" si="19"/>
        <v>1.0327149552492128</v>
      </c>
      <c r="AA12" s="218" t="str">
        <f t="shared" ref="AA12:AA22" si="36">+CONCATENATE($Q$3,"(",A12,"): ",$C12)</f>
        <v>GU(B): Interfaces</v>
      </c>
      <c r="AB12" s="218"/>
      <c r="AC12" s="218"/>
      <c r="AD12" s="218">
        <f t="shared" si="20"/>
        <v>0.96938608389802472</v>
      </c>
      <c r="AE12" s="215">
        <v>1</v>
      </c>
      <c r="AF12" s="218">
        <f t="shared" si="21"/>
        <v>1.0306139161019754</v>
      </c>
      <c r="AG12" s="216">
        <f t="shared" ref="AG12:AG22" si="37">+AF12-AD12</f>
        <v>6.1227832203950672E-2</v>
      </c>
      <c r="AH12" s="216">
        <f t="shared" ref="AH12:AH22" si="38">+AG12-L12</f>
        <v>8.3266726846886741E-17</v>
      </c>
      <c r="AI12" s="218"/>
      <c r="AJ12" s="219">
        <f t="shared" ca="1" si="22"/>
        <v>0.13170787016316482</v>
      </c>
      <c r="AK12" s="219"/>
      <c r="AL12" s="216">
        <f t="shared" ca="1" si="23"/>
        <v>0.93414606491841756</v>
      </c>
      <c r="AM12" s="216">
        <f t="shared" ca="1" si="24"/>
        <v>1</v>
      </c>
      <c r="AN12" s="216">
        <f t="shared" ca="1" si="25"/>
        <v>1.0658539350815823</v>
      </c>
      <c r="AO12" s="219"/>
      <c r="AP12" s="220" t="str">
        <f t="shared" ca="1" si="26"/>
        <v>#2: GU(A): Contracting strategy, P= 13,2%</v>
      </c>
      <c r="AQ12" s="220"/>
      <c r="AR12" s="219">
        <f t="shared" ca="1" si="27"/>
        <v>0.13170787016316482</v>
      </c>
      <c r="AS12" s="219">
        <f t="shared" ca="1" si="28"/>
        <v>0.88549765662775548</v>
      </c>
      <c r="AT12" s="219">
        <f t="shared" ca="1" si="29"/>
        <v>1.2453621643690953</v>
      </c>
      <c r="AU12" s="219">
        <f t="shared" ca="1" si="30"/>
        <v>1.0327149552492128</v>
      </c>
      <c r="AV12" s="219"/>
      <c r="AW12" s="219">
        <f t="shared" ca="1" si="31"/>
        <v>0.88549765662775548</v>
      </c>
      <c r="AX12" s="219">
        <f t="shared" ca="1" si="32"/>
        <v>1.0327149552492128</v>
      </c>
      <c r="AY12" s="219">
        <f t="shared" ca="1" si="33"/>
        <v>1.2453621643690953</v>
      </c>
      <c r="AZ12" s="207"/>
      <c r="BA12" s="318">
        <f t="shared" si="34"/>
        <v>305.67059999999998</v>
      </c>
      <c r="BB12" s="319">
        <f t="shared" ref="BB12:BB22" si="39">+(100%+IFERROR($B12*D12/$BA12,0%))</f>
        <v>0.91821261187696823</v>
      </c>
      <c r="BC12" s="319">
        <f t="shared" ref="BC12:BC22" si="40">+(100%+IFERROR($B12*E12/$BA12,0%))</f>
        <v>1</v>
      </c>
      <c r="BD12" s="319">
        <f t="shared" ref="BD12:BD22" si="41">+(100%+IFERROR($B12*F12/$BA12,0%))</f>
        <v>1.1635747762460635</v>
      </c>
      <c r="BE12" s="93">
        <f t="shared" ref="BE12:BE22" si="42">+(BB12+FaktorA*BC12+BD12)/DivisorA+IF(ABS(D12)+ABS(E12)+ABS(F12)=0,0%,0)</f>
        <v>1.0163574776246063</v>
      </c>
      <c r="BF12" s="69">
        <f t="shared" ref="BF12:BF22" si="43">+(D12+FaktorA*E12+F12)/DivisorA</f>
        <v>5</v>
      </c>
      <c r="BG12" s="93">
        <f t="shared" ref="BG12:BG22" si="44">+IFERROR(BF12/$BF$23,0)</f>
        <v>4.6916650446351647E-2</v>
      </c>
      <c r="BH12" s="259">
        <f t="shared" ref="BH12:BH22" si="45">+IF($H12&gt;0,$BE12-100%,0%)</f>
        <v>1.6357477624606265E-2</v>
      </c>
      <c r="BI12" s="259">
        <f t="shared" ref="BI12:BI22" si="46">+IF($H12&lt;=0,$BE12-100%,0%)</f>
        <v>0</v>
      </c>
    </row>
    <row r="13" spans="1:67" ht="15.45">
      <c r="A13" s="88" t="s">
        <v>54</v>
      </c>
      <c r="B13" s="88">
        <v>1</v>
      </c>
      <c r="C13" s="70" t="s">
        <v>211</v>
      </c>
      <c r="D13" s="257">
        <v>-50</v>
      </c>
      <c r="E13" s="257">
        <v>10</v>
      </c>
      <c r="F13" s="257">
        <v>90</v>
      </c>
      <c r="H13" s="312">
        <f t="shared" si="8"/>
        <v>14</v>
      </c>
      <c r="I13" s="313">
        <f t="shared" si="9"/>
        <v>28</v>
      </c>
      <c r="J13" s="197">
        <v>1</v>
      </c>
      <c r="K13" s="69">
        <f t="shared" si="10"/>
        <v>784</v>
      </c>
      <c r="L13" s="86">
        <f t="shared" si="11"/>
        <v>0.21334497976843228</v>
      </c>
      <c r="M13" s="67"/>
      <c r="N13" s="102" t="s">
        <v>182</v>
      </c>
      <c r="O13" s="384">
        <f t="shared" si="12"/>
        <v>6.5429910498425503E-2</v>
      </c>
      <c r="Q13" s="213">
        <v>1</v>
      </c>
      <c r="R13" s="213">
        <f t="shared" ca="1" si="13"/>
        <v>3</v>
      </c>
      <c r="S13" s="213">
        <f t="shared" ca="1" si="13"/>
        <v>3</v>
      </c>
      <c r="T13" s="242">
        <f t="shared" ca="1" si="14"/>
        <v>0.21334527976843229</v>
      </c>
      <c r="U13" s="213">
        <f t="shared" ca="1" si="15"/>
        <v>1</v>
      </c>
      <c r="V13" s="215">
        <f t="shared" si="35"/>
        <v>0.21334497976843228</v>
      </c>
      <c r="W13" s="216">
        <f t="shared" si="16"/>
        <v>0.83642522375393646</v>
      </c>
      <c r="X13" s="216">
        <f t="shared" si="17"/>
        <v>1.0327149552492128</v>
      </c>
      <c r="Y13" s="216">
        <f t="shared" si="18"/>
        <v>1.2944345972429145</v>
      </c>
      <c r="Z13" s="217">
        <f t="shared" si="19"/>
        <v>1.0327149552492128</v>
      </c>
      <c r="AA13" s="218" t="str">
        <f t="shared" si="36"/>
        <v>GU(C): Compet. &amp; Experience level</v>
      </c>
      <c r="AB13" s="218"/>
      <c r="AC13" s="218"/>
      <c r="AD13" s="218">
        <f t="shared" si="20"/>
        <v>0.89332751011578382</v>
      </c>
      <c r="AE13" s="215">
        <v>1</v>
      </c>
      <c r="AF13" s="218">
        <f t="shared" si="21"/>
        <v>1.1066724898842162</v>
      </c>
      <c r="AG13" s="216">
        <f t="shared" si="37"/>
        <v>0.21334497976843236</v>
      </c>
      <c r="AH13" s="216">
        <f t="shared" si="38"/>
        <v>0</v>
      </c>
      <c r="AI13" s="218"/>
      <c r="AJ13" s="219">
        <f t="shared" ca="1" si="22"/>
        <v>0.10884947947368993</v>
      </c>
      <c r="AK13" s="219"/>
      <c r="AL13" s="216">
        <f t="shared" ca="1" si="23"/>
        <v>0.94557526026315508</v>
      </c>
      <c r="AM13" s="216">
        <f t="shared" ca="1" si="24"/>
        <v>1</v>
      </c>
      <c r="AN13" s="216">
        <f t="shared" ca="1" si="25"/>
        <v>1.0544247397368449</v>
      </c>
      <c r="AO13" s="219"/>
      <c r="AP13" s="220" t="str">
        <f t="shared" ca="1" si="26"/>
        <v>#3: GU(H): Req. &amp; quality control, P= 10,9%</v>
      </c>
      <c r="AQ13" s="220"/>
      <c r="AR13" s="219">
        <f t="shared" ca="1" si="27"/>
        <v>0.10884947947368993</v>
      </c>
      <c r="AS13" s="219">
        <f t="shared" ca="1" si="28"/>
        <v>0.91821261187696823</v>
      </c>
      <c r="AT13" s="219">
        <f t="shared" ca="1" si="29"/>
        <v>1.2453621643690953</v>
      </c>
      <c r="AU13" s="219">
        <f t="shared" ca="1" si="30"/>
        <v>1.049072432873819</v>
      </c>
      <c r="AV13" s="219"/>
      <c r="AW13" s="219">
        <f t="shared" ca="1" si="31"/>
        <v>0.91821261187696823</v>
      </c>
      <c r="AX13" s="219">
        <f t="shared" ca="1" si="32"/>
        <v>1.049072432873819</v>
      </c>
      <c r="AY13" s="219">
        <f t="shared" ca="1" si="33"/>
        <v>1.2453621643690953</v>
      </c>
      <c r="AZ13" s="207"/>
      <c r="BA13" s="318">
        <f t="shared" si="34"/>
        <v>305.67059999999998</v>
      </c>
      <c r="BB13" s="319">
        <f t="shared" si="39"/>
        <v>0.83642522375393646</v>
      </c>
      <c r="BC13" s="319">
        <f t="shared" si="40"/>
        <v>1.0327149552492128</v>
      </c>
      <c r="BD13" s="319">
        <f t="shared" si="41"/>
        <v>1.2944345972429145</v>
      </c>
      <c r="BE13" s="93">
        <f t="shared" si="42"/>
        <v>1.0458009373488979</v>
      </c>
      <c r="BF13" s="69">
        <f t="shared" si="43"/>
        <v>14</v>
      </c>
      <c r="BG13" s="93">
        <f t="shared" si="44"/>
        <v>0.1313666212497846</v>
      </c>
      <c r="BH13" s="259">
        <f t="shared" si="45"/>
        <v>4.5800937348897897E-2</v>
      </c>
      <c r="BI13" s="259">
        <f t="shared" si="46"/>
        <v>0</v>
      </c>
    </row>
    <row r="14" spans="1:67" ht="15.65" customHeight="1">
      <c r="A14" s="88" t="s">
        <v>171</v>
      </c>
      <c r="B14" s="88">
        <v>1</v>
      </c>
      <c r="C14" s="70" t="s">
        <v>212</v>
      </c>
      <c r="D14" s="257">
        <v>-5</v>
      </c>
      <c r="E14" s="257">
        <v>10</v>
      </c>
      <c r="F14" s="257">
        <v>17.5</v>
      </c>
      <c r="H14" s="312">
        <f t="shared" si="8"/>
        <v>8.5</v>
      </c>
      <c r="I14" s="313">
        <f t="shared" si="9"/>
        <v>4.5</v>
      </c>
      <c r="J14" s="197">
        <v>1</v>
      </c>
      <c r="K14" s="69">
        <f t="shared" si="10"/>
        <v>20.25</v>
      </c>
      <c r="L14" s="86">
        <f t="shared" si="11"/>
        <v>5.5105048983555534E-3</v>
      </c>
      <c r="M14" s="67"/>
      <c r="N14" s="102" t="s">
        <v>183</v>
      </c>
      <c r="O14" s="384">
        <f t="shared" si="12"/>
        <v>-2.453621643690973E-2</v>
      </c>
      <c r="Q14" s="213">
        <v>1</v>
      </c>
      <c r="R14" s="213">
        <f t="shared" ca="1" si="13"/>
        <v>4</v>
      </c>
      <c r="S14" s="213">
        <f t="shared" ca="1" si="13"/>
        <v>4</v>
      </c>
      <c r="T14" s="242">
        <f t="shared" ca="1" si="14"/>
        <v>5.5109048983555536E-3</v>
      </c>
      <c r="U14" s="213">
        <f t="shared" ca="1" si="15"/>
        <v>19</v>
      </c>
      <c r="V14" s="215">
        <f t="shared" si="35"/>
        <v>5.5105048983555534E-3</v>
      </c>
      <c r="W14" s="216">
        <f t="shared" si="16"/>
        <v>0.98364252237539362</v>
      </c>
      <c r="X14" s="216">
        <f t="shared" si="17"/>
        <v>1.0327149552492128</v>
      </c>
      <c r="Y14" s="216">
        <f t="shared" si="18"/>
        <v>1.0572511716861221</v>
      </c>
      <c r="Z14" s="217">
        <f t="shared" si="19"/>
        <v>1.0327149552492128</v>
      </c>
      <c r="AA14" s="218" t="str">
        <f t="shared" si="36"/>
        <v>GU(D): The Builders Org.</v>
      </c>
      <c r="AB14" s="218"/>
      <c r="AC14" s="218"/>
      <c r="AD14" s="218">
        <f t="shared" si="20"/>
        <v>0.99724474755082226</v>
      </c>
      <c r="AE14" s="215">
        <v>1</v>
      </c>
      <c r="AF14" s="218">
        <f t="shared" si="21"/>
        <v>1.0027552524491778</v>
      </c>
      <c r="AG14" s="216">
        <f t="shared" si="37"/>
        <v>5.5105048983555838E-3</v>
      </c>
      <c r="AH14" s="216">
        <f t="shared" si="38"/>
        <v>3.0357660829594124E-17</v>
      </c>
      <c r="AI14" s="218"/>
      <c r="AJ14" s="219">
        <f t="shared" ca="1" si="22"/>
        <v>0.10884947947368993</v>
      </c>
      <c r="AK14" s="219"/>
      <c r="AL14" s="216">
        <f t="shared" ca="1" si="23"/>
        <v>0.94557526026315508</v>
      </c>
      <c r="AM14" s="216">
        <f t="shared" ca="1" si="24"/>
        <v>1</v>
      </c>
      <c r="AN14" s="216">
        <f t="shared" ca="1" si="25"/>
        <v>1.0544247397368449</v>
      </c>
      <c r="AO14" s="219"/>
      <c r="AP14" s="220" t="str">
        <f t="shared" ca="1" si="26"/>
        <v>#4: GU(F): External conditions, P= 10,9%</v>
      </c>
      <c r="AQ14" s="220"/>
      <c r="AR14" s="219">
        <f t="shared" ca="1" si="27"/>
        <v>0.10884947947368993</v>
      </c>
      <c r="AS14" s="219">
        <f t="shared" ca="1" si="28"/>
        <v>0.91821261187696823</v>
      </c>
      <c r="AT14" s="219">
        <f t="shared" ca="1" si="29"/>
        <v>1.2453621643690953</v>
      </c>
      <c r="AU14" s="219">
        <f t="shared" ca="1" si="30"/>
        <v>1.0327149552492128</v>
      </c>
      <c r="AV14" s="219"/>
      <c r="AW14" s="219">
        <f t="shared" ca="1" si="31"/>
        <v>0.91821261187696823</v>
      </c>
      <c r="AX14" s="219">
        <f t="shared" ca="1" si="32"/>
        <v>1.0327149552492128</v>
      </c>
      <c r="AY14" s="219">
        <f t="shared" ca="1" si="33"/>
        <v>1.2453621643690953</v>
      </c>
      <c r="AZ14" s="207"/>
      <c r="BA14" s="318">
        <f t="shared" si="34"/>
        <v>305.67059999999998</v>
      </c>
      <c r="BB14" s="319">
        <f t="shared" si="39"/>
        <v>0.98364252237539362</v>
      </c>
      <c r="BC14" s="319">
        <f t="shared" si="40"/>
        <v>1.0327149552492128</v>
      </c>
      <c r="BD14" s="319">
        <f t="shared" si="41"/>
        <v>1.0572511716861221</v>
      </c>
      <c r="BE14" s="93">
        <f t="shared" si="42"/>
        <v>1.0278077119618307</v>
      </c>
      <c r="BF14" s="69">
        <f t="shared" si="43"/>
        <v>8.5</v>
      </c>
      <c r="BG14" s="93">
        <f t="shared" si="44"/>
        <v>7.9758305758797804E-2</v>
      </c>
      <c r="BH14" s="259">
        <f t="shared" si="45"/>
        <v>2.7807711961830739E-2</v>
      </c>
      <c r="BI14" s="259">
        <f t="shared" si="46"/>
        <v>0</v>
      </c>
    </row>
    <row r="15" spans="1:67" ht="15.45">
      <c r="A15" s="88" t="s">
        <v>172</v>
      </c>
      <c r="B15" s="88">
        <v>1</v>
      </c>
      <c r="C15" s="70" t="s">
        <v>213</v>
      </c>
      <c r="D15" s="257">
        <v>-15</v>
      </c>
      <c r="E15" s="257">
        <v>-5</v>
      </c>
      <c r="F15" s="257">
        <v>10</v>
      </c>
      <c r="H15" s="312">
        <f t="shared" si="8"/>
        <v>-4</v>
      </c>
      <c r="I15" s="313">
        <f t="shared" si="9"/>
        <v>5</v>
      </c>
      <c r="J15" s="197">
        <v>1</v>
      </c>
      <c r="K15" s="69">
        <f t="shared" si="10"/>
        <v>25</v>
      </c>
      <c r="L15" s="86">
        <f t="shared" si="11"/>
        <v>6.8030924671056208E-3</v>
      </c>
      <c r="M15" s="67"/>
      <c r="N15" s="102" t="s">
        <v>236</v>
      </c>
      <c r="O15" s="384">
        <f t="shared" si="12"/>
        <v>0</v>
      </c>
      <c r="Q15" s="213">
        <v>1</v>
      </c>
      <c r="R15" s="213">
        <f t="shared" ca="1" si="13"/>
        <v>5</v>
      </c>
      <c r="S15" s="213">
        <f t="shared" ca="1" si="13"/>
        <v>5</v>
      </c>
      <c r="T15" s="242">
        <f t="shared" ca="1" si="14"/>
        <v>6.8035924671056205E-3</v>
      </c>
      <c r="U15" s="213">
        <f t="shared" ca="1" si="15"/>
        <v>18</v>
      </c>
      <c r="V15" s="215">
        <f t="shared" si="35"/>
        <v>6.8030924671056208E-3</v>
      </c>
      <c r="W15" s="216">
        <f t="shared" si="16"/>
        <v>1</v>
      </c>
      <c r="X15" s="216">
        <f t="shared" si="17"/>
        <v>1</v>
      </c>
      <c r="Y15" s="216">
        <f t="shared" si="18"/>
        <v>1</v>
      </c>
      <c r="Z15" s="217">
        <f t="shared" si="19"/>
        <v>1.0327149552492128</v>
      </c>
      <c r="AA15" s="218" t="str">
        <f t="shared" si="36"/>
        <v>GU(E): Project Org.</v>
      </c>
      <c r="AB15" s="218"/>
      <c r="AC15" s="218"/>
      <c r="AD15" s="218">
        <f t="shared" si="20"/>
        <v>0.99659845376644718</v>
      </c>
      <c r="AE15" s="215">
        <v>1</v>
      </c>
      <c r="AF15" s="218">
        <f t="shared" si="21"/>
        <v>1.0034015462335528</v>
      </c>
      <c r="AG15" s="216">
        <f t="shared" si="37"/>
        <v>6.8030924671056425E-3</v>
      </c>
      <c r="AH15" s="216">
        <f t="shared" si="38"/>
        <v>2.1684043449710089E-17</v>
      </c>
      <c r="AI15" s="218"/>
      <c r="AJ15" s="219">
        <f t="shared" ca="1" si="22"/>
        <v>8.8168078373688855E-2</v>
      </c>
      <c r="AK15" s="219"/>
      <c r="AL15" s="216">
        <f t="shared" ca="1" si="23"/>
        <v>0.95591596081315555</v>
      </c>
      <c r="AM15" s="216">
        <f t="shared" ca="1" si="24"/>
        <v>1</v>
      </c>
      <c r="AN15" s="216">
        <f t="shared" ca="1" si="25"/>
        <v>1.0440840391868444</v>
      </c>
      <c r="AO15" s="219"/>
      <c r="AP15" s="220" t="str">
        <f t="shared" ca="1" si="26"/>
        <v>#5: Opg15: Accommodation, P= 8,8%</v>
      </c>
      <c r="AQ15" s="220"/>
      <c r="AR15" s="219">
        <f t="shared" ca="1" si="27"/>
        <v>8.8168078373688855E-2</v>
      </c>
      <c r="AS15" s="219">
        <f t="shared" ca="1" si="28"/>
        <v>0.20408163265306123</v>
      </c>
      <c r="AT15" s="219">
        <f t="shared" ca="1" si="29"/>
        <v>2.0408163265306123</v>
      </c>
      <c r="AU15" s="219">
        <f t="shared" ca="1" si="30"/>
        <v>0.91836734693877553</v>
      </c>
      <c r="AV15" s="219"/>
      <c r="AW15" s="219">
        <f t="shared" ca="1" si="31"/>
        <v>0.20408163265306123</v>
      </c>
      <c r="AX15" s="219">
        <f t="shared" ca="1" si="32"/>
        <v>0.91836734693877553</v>
      </c>
      <c r="AY15" s="219">
        <f t="shared" ca="1" si="33"/>
        <v>2.0408163265306123</v>
      </c>
      <c r="AZ15" s="207"/>
      <c r="BA15" s="318">
        <f t="shared" si="34"/>
        <v>0</v>
      </c>
      <c r="BB15" s="319">
        <f t="shared" si="39"/>
        <v>1</v>
      </c>
      <c r="BC15" s="319">
        <f t="shared" si="40"/>
        <v>1</v>
      </c>
      <c r="BD15" s="319">
        <f t="shared" si="41"/>
        <v>1</v>
      </c>
      <c r="BE15" s="93">
        <f t="shared" si="42"/>
        <v>1</v>
      </c>
      <c r="BF15" s="69">
        <f t="shared" si="43"/>
        <v>-4</v>
      </c>
      <c r="BG15" s="93">
        <f t="shared" si="44"/>
        <v>-3.7533320357081318E-2</v>
      </c>
      <c r="BH15" s="259">
        <f t="shared" si="45"/>
        <v>0</v>
      </c>
      <c r="BI15" s="259">
        <f t="shared" si="46"/>
        <v>0</v>
      </c>
    </row>
    <row r="16" spans="1:67" ht="15.35" customHeight="1">
      <c r="A16" s="88" t="s">
        <v>173</v>
      </c>
      <c r="B16" s="88">
        <v>1</v>
      </c>
      <c r="C16" s="70" t="s">
        <v>214</v>
      </c>
      <c r="D16" s="257">
        <v>-25</v>
      </c>
      <c r="E16" s="257">
        <v>10</v>
      </c>
      <c r="F16" s="257">
        <v>75</v>
      </c>
      <c r="H16" s="312">
        <f t="shared" si="8"/>
        <v>16</v>
      </c>
      <c r="I16" s="313">
        <f t="shared" si="9"/>
        <v>20</v>
      </c>
      <c r="J16" s="197">
        <v>1</v>
      </c>
      <c r="K16" s="69">
        <f t="shared" si="10"/>
        <v>400</v>
      </c>
      <c r="L16" s="86">
        <f t="shared" si="11"/>
        <v>0.10884947947368993</v>
      </c>
      <c r="M16" s="67"/>
      <c r="N16" s="102" t="s">
        <v>237</v>
      </c>
      <c r="O16" s="384">
        <f t="shared" si="12"/>
        <v>9.8144865747638033E-2</v>
      </c>
      <c r="Q16" s="213">
        <v>1</v>
      </c>
      <c r="R16" s="213">
        <f t="shared" ca="1" si="13"/>
        <v>6</v>
      </c>
      <c r="S16" s="213">
        <f t="shared" ca="1" si="13"/>
        <v>6</v>
      </c>
      <c r="T16" s="242">
        <f t="shared" ca="1" si="14"/>
        <v>0.10885007947368994</v>
      </c>
      <c r="U16" s="213">
        <f t="shared" ca="1" si="15"/>
        <v>4</v>
      </c>
      <c r="V16" s="215">
        <f t="shared" si="35"/>
        <v>0.10884947947368993</v>
      </c>
      <c r="W16" s="216">
        <f t="shared" si="16"/>
        <v>0.91821261187696823</v>
      </c>
      <c r="X16" s="216">
        <f t="shared" si="17"/>
        <v>1.0327149552492128</v>
      </c>
      <c r="Y16" s="216">
        <f t="shared" si="18"/>
        <v>1.2453621643690953</v>
      </c>
      <c r="Z16" s="217">
        <f t="shared" si="19"/>
        <v>1.0327149552492128</v>
      </c>
      <c r="AA16" s="218" t="str">
        <f t="shared" si="36"/>
        <v>GU(F): External conditions</v>
      </c>
      <c r="AB16" s="218"/>
      <c r="AC16" s="218"/>
      <c r="AD16" s="218">
        <f t="shared" si="20"/>
        <v>0.94557526026315508</v>
      </c>
      <c r="AE16" s="215">
        <v>1</v>
      </c>
      <c r="AF16" s="218">
        <f t="shared" si="21"/>
        <v>1.0544247397368449</v>
      </c>
      <c r="AG16" s="216">
        <f t="shared" si="37"/>
        <v>0.10884947947368984</v>
      </c>
      <c r="AH16" s="216">
        <f t="shared" si="38"/>
        <v>0</v>
      </c>
      <c r="AI16" s="218"/>
      <c r="AJ16" s="219">
        <f t="shared" ca="1" si="22"/>
        <v>6.1227832203950588E-2</v>
      </c>
      <c r="AK16" s="219"/>
      <c r="AL16" s="216">
        <f t="shared" ca="1" si="23"/>
        <v>0.96938608389802472</v>
      </c>
      <c r="AM16" s="216">
        <f t="shared" ca="1" si="24"/>
        <v>1</v>
      </c>
      <c r="AN16" s="216">
        <f t="shared" ca="1" si="25"/>
        <v>1.0306139161019754</v>
      </c>
      <c r="AO16" s="219"/>
      <c r="AP16" s="220" t="str">
        <f t="shared" ca="1" si="26"/>
        <v>#6: Opg13: Raw house, P= 6,1%</v>
      </c>
      <c r="AQ16" s="220"/>
      <c r="AR16" s="219">
        <f t="shared" ca="1" si="27"/>
        <v>6.1227832203950588E-2</v>
      </c>
      <c r="AS16" s="219">
        <f t="shared" ca="1" si="28"/>
        <v>0.7142857142857143</v>
      </c>
      <c r="AT16" s="219">
        <f t="shared" ca="1" si="29"/>
        <v>1.4285714285714286</v>
      </c>
      <c r="AU16" s="219">
        <f t="shared" ca="1" si="30"/>
        <v>0.95238095238095233</v>
      </c>
      <c r="AV16" s="219"/>
      <c r="AW16" s="219">
        <f t="shared" ca="1" si="31"/>
        <v>0.7142857142857143</v>
      </c>
      <c r="AX16" s="219">
        <f t="shared" ca="1" si="32"/>
        <v>0.95238095238095233</v>
      </c>
      <c r="AY16" s="219">
        <f t="shared" ca="1" si="33"/>
        <v>1.4285714285714286</v>
      </c>
      <c r="AZ16" s="207"/>
      <c r="BA16" s="318">
        <f t="shared" si="34"/>
        <v>305.67059999999998</v>
      </c>
      <c r="BB16" s="319">
        <f t="shared" si="39"/>
        <v>0.91821261187696823</v>
      </c>
      <c r="BC16" s="319">
        <f t="shared" si="40"/>
        <v>1.0327149552492128</v>
      </c>
      <c r="BD16" s="319">
        <f t="shared" si="41"/>
        <v>1.2453621643690953</v>
      </c>
      <c r="BE16" s="93">
        <f t="shared" si="42"/>
        <v>1.0523439283987404</v>
      </c>
      <c r="BF16" s="69">
        <f t="shared" si="43"/>
        <v>16</v>
      </c>
      <c r="BG16" s="93">
        <f t="shared" si="44"/>
        <v>0.15013328142832527</v>
      </c>
      <c r="BH16" s="259">
        <f t="shared" si="45"/>
        <v>5.2343928398740358E-2</v>
      </c>
      <c r="BI16" s="259">
        <f t="shared" si="46"/>
        <v>0</v>
      </c>
    </row>
    <row r="17" spans="1:61" ht="15.65" customHeight="1">
      <c r="A17" s="88" t="s">
        <v>174</v>
      </c>
      <c r="B17" s="88">
        <v>1</v>
      </c>
      <c r="C17" s="70" t="s">
        <v>215</v>
      </c>
      <c r="D17" s="257">
        <v>-10</v>
      </c>
      <c r="E17" s="257">
        <v>5</v>
      </c>
      <c r="F17" s="257">
        <v>25</v>
      </c>
      <c r="H17" s="312">
        <f t="shared" si="8"/>
        <v>6</v>
      </c>
      <c r="I17" s="313">
        <f t="shared" si="9"/>
        <v>7</v>
      </c>
      <c r="J17" s="197">
        <v>1</v>
      </c>
      <c r="K17" s="69">
        <f t="shared" si="10"/>
        <v>49</v>
      </c>
      <c r="L17" s="86">
        <f t="shared" si="11"/>
        <v>1.3334061235527018E-2</v>
      </c>
      <c r="M17" s="67"/>
      <c r="N17" s="102" t="s">
        <v>219</v>
      </c>
      <c r="O17" s="384">
        <f t="shared" si="12"/>
        <v>1.6357477624606487E-2</v>
      </c>
      <c r="Q17" s="213">
        <v>1</v>
      </c>
      <c r="R17" s="213">
        <f t="shared" ca="1" si="13"/>
        <v>7</v>
      </c>
      <c r="S17" s="213">
        <f t="shared" ca="1" si="13"/>
        <v>7</v>
      </c>
      <c r="T17" s="242">
        <f t="shared" ca="1" si="14"/>
        <v>1.3334761235527017E-2</v>
      </c>
      <c r="U17" s="213">
        <f t="shared" ca="1" si="15"/>
        <v>12</v>
      </c>
      <c r="V17" s="215">
        <f t="shared" si="35"/>
        <v>1.3334061235527018E-2</v>
      </c>
      <c r="W17" s="216">
        <f t="shared" si="16"/>
        <v>0.96728504475078725</v>
      </c>
      <c r="X17" s="216">
        <f t="shared" si="17"/>
        <v>1.0163574776246063</v>
      </c>
      <c r="Y17" s="216">
        <f t="shared" si="18"/>
        <v>1.0817873881230318</v>
      </c>
      <c r="Z17" s="217">
        <f t="shared" si="19"/>
        <v>1.0327149552492128</v>
      </c>
      <c r="AA17" s="218" t="str">
        <f t="shared" si="36"/>
        <v>GU(G): Construction market index</v>
      </c>
      <c r="AB17" s="218"/>
      <c r="AC17" s="218"/>
      <c r="AD17" s="218">
        <f t="shared" si="20"/>
        <v>0.99333296938223647</v>
      </c>
      <c r="AE17" s="215">
        <v>1</v>
      </c>
      <c r="AF17" s="218">
        <f t="shared" si="21"/>
        <v>1.0066670306177634</v>
      </c>
      <c r="AG17" s="216">
        <f t="shared" si="37"/>
        <v>1.3334061235526939E-2</v>
      </c>
      <c r="AH17" s="216">
        <f t="shared" si="38"/>
        <v>-7.8062556418956319E-17</v>
      </c>
      <c r="AI17" s="218"/>
      <c r="AJ17" s="219">
        <f t="shared" ca="1" si="22"/>
        <v>6.1227832203950588E-2</v>
      </c>
      <c r="AK17" s="219"/>
      <c r="AL17" s="216">
        <f t="shared" ca="1" si="23"/>
        <v>0.96938608389802472</v>
      </c>
      <c r="AM17" s="216">
        <f t="shared" ca="1" si="24"/>
        <v>1</v>
      </c>
      <c r="AN17" s="216">
        <f t="shared" ca="1" si="25"/>
        <v>1.0306139161019754</v>
      </c>
      <c r="AO17" s="219"/>
      <c r="AP17" s="220" t="str">
        <f t="shared" ca="1" si="26"/>
        <v>#7: GU(I): Political issues, P= 6,1%</v>
      </c>
      <c r="AQ17" s="220"/>
      <c r="AR17" s="219">
        <f t="shared" ca="1" si="27"/>
        <v>6.1227832203950588E-2</v>
      </c>
      <c r="AS17" s="219">
        <f t="shared" ca="1" si="28"/>
        <v>0.91821261187696823</v>
      </c>
      <c r="AT17" s="219">
        <f t="shared" ca="1" si="29"/>
        <v>1.1635747762460635</v>
      </c>
      <c r="AU17" s="219">
        <f t="shared" ca="1" si="30"/>
        <v>1.0327149552492128</v>
      </c>
      <c r="AV17" s="219"/>
      <c r="AW17" s="219">
        <f t="shared" ca="1" si="31"/>
        <v>0.91821261187696823</v>
      </c>
      <c r="AX17" s="219">
        <f t="shared" ca="1" si="32"/>
        <v>1.0327149552492128</v>
      </c>
      <c r="AY17" s="219">
        <f t="shared" ca="1" si="33"/>
        <v>1.1635747762460635</v>
      </c>
      <c r="AZ17" s="207"/>
      <c r="BA17" s="318">
        <f t="shared" si="34"/>
        <v>305.67059999999998</v>
      </c>
      <c r="BB17" s="319">
        <f t="shared" si="39"/>
        <v>0.96728504475078725</v>
      </c>
      <c r="BC17" s="319">
        <f t="shared" si="40"/>
        <v>1.0163574776246063</v>
      </c>
      <c r="BD17" s="319">
        <f t="shared" si="41"/>
        <v>1.0817873881230318</v>
      </c>
      <c r="BE17" s="93">
        <f t="shared" si="42"/>
        <v>1.0196289731495276</v>
      </c>
      <c r="BF17" s="69">
        <f t="shared" si="43"/>
        <v>6</v>
      </c>
      <c r="BG17" s="93">
        <f t="shared" si="44"/>
        <v>5.6299980535621977E-2</v>
      </c>
      <c r="BH17" s="259">
        <f t="shared" si="45"/>
        <v>1.9628973149527607E-2</v>
      </c>
      <c r="BI17" s="259">
        <f t="shared" si="46"/>
        <v>0</v>
      </c>
    </row>
    <row r="18" spans="1:61" ht="18.350000000000001" customHeight="1">
      <c r="A18" s="88" t="s">
        <v>175</v>
      </c>
      <c r="B18" s="88">
        <v>1</v>
      </c>
      <c r="C18" s="70" t="s">
        <v>216</v>
      </c>
      <c r="D18" s="257">
        <v>-25</v>
      </c>
      <c r="E18" s="257">
        <v>15</v>
      </c>
      <c r="F18" s="257">
        <v>75</v>
      </c>
      <c r="H18" s="312">
        <f t="shared" si="8"/>
        <v>19</v>
      </c>
      <c r="I18" s="313">
        <f t="shared" si="9"/>
        <v>20</v>
      </c>
      <c r="J18" s="197">
        <v>1</v>
      </c>
      <c r="K18" s="69">
        <f t="shared" si="10"/>
        <v>400</v>
      </c>
      <c r="L18" s="86">
        <f t="shared" si="11"/>
        <v>0.10884947947368993</v>
      </c>
      <c r="M18" s="67"/>
      <c r="N18" s="102" t="s">
        <v>220</v>
      </c>
      <c r="O18" s="384">
        <f t="shared" si="12"/>
        <v>6.5429910498425503E-2</v>
      </c>
      <c r="Q18" s="213">
        <v>1</v>
      </c>
      <c r="R18" s="213">
        <f t="shared" ca="1" si="13"/>
        <v>8</v>
      </c>
      <c r="S18" s="213">
        <f t="shared" ca="1" si="13"/>
        <v>8</v>
      </c>
      <c r="T18" s="242">
        <f t="shared" ca="1" si="14"/>
        <v>0.10885027947368993</v>
      </c>
      <c r="U18" s="213">
        <f t="shared" ca="1" si="15"/>
        <v>3</v>
      </c>
      <c r="V18" s="215">
        <f>+L18</f>
        <v>0.10884947947368993</v>
      </c>
      <c r="W18" s="216">
        <f t="shared" si="16"/>
        <v>0.91821261187696823</v>
      </c>
      <c r="X18" s="216">
        <f t="shared" si="17"/>
        <v>1.049072432873819</v>
      </c>
      <c r="Y18" s="216">
        <f t="shared" si="18"/>
        <v>1.2453621643690953</v>
      </c>
      <c r="Z18" s="217">
        <f t="shared" si="19"/>
        <v>1.0327149552492128</v>
      </c>
      <c r="AA18" s="218" t="str">
        <f t="shared" si="36"/>
        <v>GU(H): Req. &amp; quality control</v>
      </c>
      <c r="AB18" s="218"/>
      <c r="AC18" s="218"/>
      <c r="AD18" s="218">
        <f t="shared" si="20"/>
        <v>0.94557526026315508</v>
      </c>
      <c r="AE18" s="215">
        <v>1</v>
      </c>
      <c r="AF18" s="218">
        <f t="shared" si="21"/>
        <v>1.0544247397368449</v>
      </c>
      <c r="AG18" s="216">
        <f t="shared" si="37"/>
        <v>0.10884947947368984</v>
      </c>
      <c r="AH18" s="216">
        <f t="shared" si="38"/>
        <v>0</v>
      </c>
      <c r="AI18" s="218"/>
      <c r="AJ18" s="219">
        <f t="shared" ca="1" si="22"/>
        <v>6.1227832203950588E-2</v>
      </c>
      <c r="AK18" s="219"/>
      <c r="AL18" s="216">
        <f t="shared" ca="1" si="23"/>
        <v>0.96938608389802472</v>
      </c>
      <c r="AM18" s="216">
        <f t="shared" ca="1" si="24"/>
        <v>1</v>
      </c>
      <c r="AN18" s="216">
        <f t="shared" ca="1" si="25"/>
        <v>1.0306139161019754</v>
      </c>
      <c r="AO18" s="219"/>
      <c r="AP18" s="220" t="str">
        <f t="shared" ca="1" si="26"/>
        <v>#8: GU(B): Interfaces, P= 6,1%</v>
      </c>
      <c r="AQ18" s="220"/>
      <c r="AR18" s="219">
        <f t="shared" ca="1" si="27"/>
        <v>6.1227832203950588E-2</v>
      </c>
      <c r="AS18" s="219">
        <f t="shared" ca="1" si="28"/>
        <v>0.91821261187696823</v>
      </c>
      <c r="AT18" s="219">
        <f t="shared" ca="1" si="29"/>
        <v>1.1635747762460635</v>
      </c>
      <c r="AU18" s="219">
        <f t="shared" ca="1" si="30"/>
        <v>1</v>
      </c>
      <c r="AV18" s="219"/>
      <c r="AW18" s="219">
        <f t="shared" ca="1" si="31"/>
        <v>0.91821261187696823</v>
      </c>
      <c r="AX18" s="219">
        <f t="shared" ca="1" si="32"/>
        <v>1</v>
      </c>
      <c r="AY18" s="219">
        <f t="shared" ca="1" si="33"/>
        <v>1.1635747762460635</v>
      </c>
      <c r="AZ18" s="207"/>
      <c r="BA18" s="318">
        <f t="shared" si="34"/>
        <v>305.67059999999998</v>
      </c>
      <c r="BB18" s="319">
        <f t="shared" si="39"/>
        <v>0.91821261187696823</v>
      </c>
      <c r="BC18" s="319">
        <f t="shared" si="40"/>
        <v>1.049072432873819</v>
      </c>
      <c r="BD18" s="319">
        <f t="shared" si="41"/>
        <v>1.2453621643690953</v>
      </c>
      <c r="BE18" s="93">
        <f t="shared" si="42"/>
        <v>1.0621584149735042</v>
      </c>
      <c r="BF18" s="69">
        <f t="shared" si="43"/>
        <v>19</v>
      </c>
      <c r="BG18" s="93">
        <f t="shared" si="44"/>
        <v>0.17828327169613625</v>
      </c>
      <c r="BH18" s="259">
        <f t="shared" si="45"/>
        <v>6.2158414973504161E-2</v>
      </c>
      <c r="BI18" s="259">
        <f t="shared" si="46"/>
        <v>0</v>
      </c>
    </row>
    <row r="19" spans="1:61" ht="17.149999999999999" customHeight="1">
      <c r="A19" s="88" t="s">
        <v>176</v>
      </c>
      <c r="B19" s="88">
        <v>1</v>
      </c>
      <c r="C19" s="70" t="s">
        <v>223</v>
      </c>
      <c r="D19" s="257">
        <v>-25</v>
      </c>
      <c r="E19" s="257">
        <v>10</v>
      </c>
      <c r="F19" s="257">
        <v>50</v>
      </c>
      <c r="H19" s="312">
        <f t="shared" si="8"/>
        <v>11</v>
      </c>
      <c r="I19" s="313">
        <f t="shared" si="9"/>
        <v>15</v>
      </c>
      <c r="J19" s="197">
        <v>1</v>
      </c>
      <c r="K19" s="69">
        <f t="shared" si="10"/>
        <v>225</v>
      </c>
      <c r="L19" s="86">
        <f t="shared" si="11"/>
        <v>6.1227832203950588E-2</v>
      </c>
      <c r="M19" s="67"/>
      <c r="N19" s="102" t="s">
        <v>221</v>
      </c>
      <c r="O19" s="384">
        <f t="shared" si="12"/>
        <v>1.6357477624606265E-2</v>
      </c>
      <c r="Q19" s="213">
        <v>1</v>
      </c>
      <c r="R19" s="213">
        <f t="shared" ca="1" si="13"/>
        <v>9</v>
      </c>
      <c r="S19" s="213">
        <f t="shared" ca="1" si="13"/>
        <v>9</v>
      </c>
      <c r="T19" s="242">
        <f t="shared" ca="1" si="14"/>
        <v>6.1228732203950587E-2</v>
      </c>
      <c r="U19" s="213">
        <f t="shared" ca="1" si="15"/>
        <v>7</v>
      </c>
      <c r="V19" s="215">
        <f t="shared" si="35"/>
        <v>6.1227832203950588E-2</v>
      </c>
      <c r="W19" s="216">
        <f t="shared" si="16"/>
        <v>0.91821261187696823</v>
      </c>
      <c r="X19" s="216">
        <f t="shared" si="17"/>
        <v>1.0327149552492128</v>
      </c>
      <c r="Y19" s="216">
        <f t="shared" si="18"/>
        <v>1.1635747762460635</v>
      </c>
      <c r="Z19" s="217">
        <f t="shared" si="19"/>
        <v>1.0327149552492128</v>
      </c>
      <c r="AA19" s="218" t="str">
        <f t="shared" si="36"/>
        <v>GU(I): Political issues</v>
      </c>
      <c r="AB19" s="218"/>
      <c r="AC19" s="218"/>
      <c r="AD19" s="218">
        <f t="shared" si="20"/>
        <v>0.96938608389802472</v>
      </c>
      <c r="AE19" s="215">
        <v>1</v>
      </c>
      <c r="AF19" s="218">
        <f t="shared" si="21"/>
        <v>1.0306139161019754</v>
      </c>
      <c r="AG19" s="216">
        <f t="shared" si="37"/>
        <v>6.1227832203950672E-2</v>
      </c>
      <c r="AH19" s="216">
        <f t="shared" si="38"/>
        <v>8.3266726846886741E-17</v>
      </c>
      <c r="AI19" s="218"/>
      <c r="AJ19" s="219">
        <f t="shared" ca="1" si="22"/>
        <v>3.2926967540791205E-2</v>
      </c>
      <c r="AK19" s="219"/>
      <c r="AL19" s="216">
        <f t="shared" ca="1" si="23"/>
        <v>0.98353651622960436</v>
      </c>
      <c r="AM19" s="216">
        <f t="shared" ca="1" si="24"/>
        <v>1</v>
      </c>
      <c r="AN19" s="216">
        <f t="shared" ca="1" si="25"/>
        <v>1.0164634837703956</v>
      </c>
      <c r="AO19" s="219"/>
      <c r="AP19" s="220" t="str">
        <f t="shared" ca="1" si="26"/>
        <v>#9: Opg40: Other, P= 3,3%</v>
      </c>
      <c r="AQ19" s="220"/>
      <c r="AR19" s="219">
        <f t="shared" ca="1" si="27"/>
        <v>3.2926967540791205E-2</v>
      </c>
      <c r="AS19" s="219">
        <f t="shared" ca="1" si="28"/>
        <v>0.43478260869565216</v>
      </c>
      <c r="AT19" s="219">
        <f t="shared" ca="1" si="29"/>
        <v>1.6304347826086956</v>
      </c>
      <c r="AU19" s="219">
        <f t="shared" ca="1" si="30"/>
        <v>0.97826086956521741</v>
      </c>
      <c r="AV19" s="219"/>
      <c r="AW19" s="219">
        <f t="shared" ca="1" si="31"/>
        <v>0.43478260869565216</v>
      </c>
      <c r="AX19" s="219">
        <f t="shared" ca="1" si="32"/>
        <v>0.97826086956521741</v>
      </c>
      <c r="AY19" s="219">
        <f t="shared" ca="1" si="33"/>
        <v>1.6304347826086956</v>
      </c>
      <c r="AZ19" s="207"/>
      <c r="BA19" s="318">
        <f t="shared" si="34"/>
        <v>305.67059999999998</v>
      </c>
      <c r="BB19" s="319">
        <f t="shared" si="39"/>
        <v>0.91821261187696823</v>
      </c>
      <c r="BC19" s="319">
        <f t="shared" si="40"/>
        <v>1.0327149552492128</v>
      </c>
      <c r="BD19" s="319">
        <f t="shared" si="41"/>
        <v>1.1635747762460635</v>
      </c>
      <c r="BE19" s="93">
        <f t="shared" si="42"/>
        <v>1.0359864507741341</v>
      </c>
      <c r="BF19" s="69">
        <f t="shared" si="43"/>
        <v>11</v>
      </c>
      <c r="BG19" s="93">
        <f t="shared" si="44"/>
        <v>0.10321663098197362</v>
      </c>
      <c r="BH19" s="259">
        <f t="shared" si="45"/>
        <v>3.5986450774134093E-2</v>
      </c>
      <c r="BI19" s="259">
        <f t="shared" si="46"/>
        <v>0</v>
      </c>
    </row>
    <row r="20" spans="1:61" ht="22.85" customHeight="1">
      <c r="A20" s="88" t="s">
        <v>177</v>
      </c>
      <c r="B20" s="88">
        <v>1</v>
      </c>
      <c r="C20" s="70" t="s">
        <v>224</v>
      </c>
      <c r="D20" s="257">
        <v>5</v>
      </c>
      <c r="E20" s="257">
        <v>15</v>
      </c>
      <c r="F20" s="257">
        <v>35</v>
      </c>
      <c r="H20" s="312">
        <f t="shared" si="8"/>
        <v>17</v>
      </c>
      <c r="I20" s="313">
        <f t="shared" si="9"/>
        <v>6</v>
      </c>
      <c r="J20" s="197">
        <v>1</v>
      </c>
      <c r="K20" s="69">
        <f t="shared" si="10"/>
        <v>36</v>
      </c>
      <c r="L20" s="86">
        <f t="shared" si="11"/>
        <v>9.7964531526320946E-3</v>
      </c>
      <c r="M20" s="67"/>
      <c r="N20" s="102" t="s">
        <v>222</v>
      </c>
      <c r="O20" s="384">
        <f t="shared" si="12"/>
        <v>3.2714955249212752E-2</v>
      </c>
      <c r="Q20" s="213">
        <v>1</v>
      </c>
      <c r="R20" s="213">
        <f t="shared" ca="1" si="13"/>
        <v>10</v>
      </c>
      <c r="S20" s="213">
        <f t="shared" ca="1" si="13"/>
        <v>10</v>
      </c>
      <c r="T20" s="242">
        <f t="shared" ca="1" si="14"/>
        <v>9.7974531526320938E-3</v>
      </c>
      <c r="U20" s="213">
        <f t="shared" ca="1" si="15"/>
        <v>15</v>
      </c>
      <c r="V20" s="215">
        <f t="shared" si="35"/>
        <v>9.7964531526320946E-3</v>
      </c>
      <c r="W20" s="216">
        <f t="shared" si="16"/>
        <v>1.0163574776246063</v>
      </c>
      <c r="X20" s="216">
        <f t="shared" si="17"/>
        <v>1.049072432873819</v>
      </c>
      <c r="Y20" s="216">
        <f t="shared" si="18"/>
        <v>1.1145023433722445</v>
      </c>
      <c r="Z20" s="217">
        <f t="shared" si="19"/>
        <v>1.0327149552492128</v>
      </c>
      <c r="AA20" s="218" t="str">
        <f t="shared" si="36"/>
        <v>GU(J): Geographic index</v>
      </c>
      <c r="AB20" s="218"/>
      <c r="AC20" s="218"/>
      <c r="AD20" s="218">
        <f t="shared" si="20"/>
        <v>0.995101773423684</v>
      </c>
      <c r="AE20" s="215">
        <v>1</v>
      </c>
      <c r="AF20" s="218">
        <f t="shared" si="21"/>
        <v>1.004898226576316</v>
      </c>
      <c r="AG20" s="216">
        <f t="shared" si="37"/>
        <v>9.7964531526320009E-3</v>
      </c>
      <c r="AH20" s="216">
        <f t="shared" si="38"/>
        <v>-9.3675067702747583E-17</v>
      </c>
      <c r="AI20" s="218"/>
      <c r="AJ20" s="219">
        <f t="shared" ca="1" si="22"/>
        <v>3.2926967540791205E-2</v>
      </c>
      <c r="AK20" s="219"/>
      <c r="AL20" s="216">
        <f t="shared" ca="1" si="23"/>
        <v>0.98353651622960436</v>
      </c>
      <c r="AM20" s="216">
        <f t="shared" ca="1" si="24"/>
        <v>1</v>
      </c>
      <c r="AN20" s="216">
        <f t="shared" ca="1" si="25"/>
        <v>1.0164634837703956</v>
      </c>
      <c r="AO20" s="219"/>
      <c r="AP20" s="220" t="str">
        <f t="shared" ca="1" si="26"/>
        <v>#10: Opg16: Installations, P= 3,3%</v>
      </c>
      <c r="AQ20" s="220"/>
      <c r="AR20" s="219">
        <f t="shared" ca="1" si="27"/>
        <v>3.2926967540791205E-2</v>
      </c>
      <c r="AS20" s="219">
        <f t="shared" ca="1" si="28"/>
        <v>0.5</v>
      </c>
      <c r="AT20" s="219">
        <f t="shared" ca="1" si="29"/>
        <v>1.875</v>
      </c>
      <c r="AU20" s="219">
        <f t="shared" ca="1" si="30"/>
        <v>0.875</v>
      </c>
      <c r="AV20" s="219"/>
      <c r="AW20" s="219">
        <f t="shared" ca="1" si="31"/>
        <v>0.5</v>
      </c>
      <c r="AX20" s="219">
        <f t="shared" ca="1" si="32"/>
        <v>0.875</v>
      </c>
      <c r="AY20" s="219">
        <f t="shared" ca="1" si="33"/>
        <v>1.875</v>
      </c>
      <c r="AZ20" s="207"/>
      <c r="BA20" s="318">
        <f t="shared" si="34"/>
        <v>305.67059999999998</v>
      </c>
      <c r="BB20" s="319">
        <f t="shared" si="39"/>
        <v>1.0163574776246063</v>
      </c>
      <c r="BC20" s="319">
        <f t="shared" si="40"/>
        <v>1.049072432873819</v>
      </c>
      <c r="BD20" s="319">
        <f t="shared" si="41"/>
        <v>1.1145023433722445</v>
      </c>
      <c r="BE20" s="93">
        <f t="shared" si="42"/>
        <v>1.0556154239236615</v>
      </c>
      <c r="BF20" s="69">
        <f t="shared" si="43"/>
        <v>17</v>
      </c>
      <c r="BG20" s="93">
        <f t="shared" si="44"/>
        <v>0.15951661151759561</v>
      </c>
      <c r="BH20" s="259">
        <f t="shared" si="45"/>
        <v>5.5615423923661478E-2</v>
      </c>
      <c r="BI20" s="259">
        <f t="shared" si="46"/>
        <v>0</v>
      </c>
    </row>
    <row r="21" spans="1:61" ht="22.85" customHeight="1">
      <c r="A21" s="88" t="s">
        <v>178</v>
      </c>
      <c r="B21" s="88">
        <v>1</v>
      </c>
      <c r="C21" s="70" t="s">
        <v>217</v>
      </c>
      <c r="D21" s="257">
        <v>-5</v>
      </c>
      <c r="E21" s="257">
        <v>0</v>
      </c>
      <c r="F21" s="257">
        <v>25</v>
      </c>
      <c r="H21" s="312">
        <f t="shared" si="8"/>
        <v>4</v>
      </c>
      <c r="I21" s="313">
        <f t="shared" si="9"/>
        <v>6</v>
      </c>
      <c r="J21" s="197">
        <v>1</v>
      </c>
      <c r="K21" s="69">
        <f t="shared" si="10"/>
        <v>36</v>
      </c>
      <c r="L21" s="86">
        <f t="shared" si="11"/>
        <v>9.7964531526320946E-3</v>
      </c>
      <c r="M21" s="67"/>
      <c r="N21" s="102" t="s">
        <v>179</v>
      </c>
      <c r="O21" s="384">
        <f t="shared" si="12"/>
        <v>6.5429910498425392E-2</v>
      </c>
      <c r="Q21" s="213">
        <v>1</v>
      </c>
      <c r="R21" s="213">
        <f t="shared" ca="1" si="13"/>
        <v>11</v>
      </c>
      <c r="S21" s="213">
        <f t="shared" ca="1" si="13"/>
        <v>11</v>
      </c>
      <c r="T21" s="242">
        <f t="shared" ca="1" si="14"/>
        <v>9.797553152632095E-3</v>
      </c>
      <c r="U21" s="213">
        <f t="shared" ca="1" si="15"/>
        <v>14</v>
      </c>
      <c r="V21" s="215">
        <f t="shared" ref="V21" si="47">+L21</f>
        <v>9.7964531526320946E-3</v>
      </c>
      <c r="W21" s="216">
        <f t="shared" si="16"/>
        <v>0.98364252237539362</v>
      </c>
      <c r="X21" s="216">
        <f t="shared" si="17"/>
        <v>1</v>
      </c>
      <c r="Y21" s="216">
        <f t="shared" si="18"/>
        <v>1.0817873881230318</v>
      </c>
      <c r="Z21" s="217">
        <f t="shared" si="19"/>
        <v>1.0327149552492128</v>
      </c>
      <c r="AA21" s="218" t="str">
        <f t="shared" si="36"/>
        <v>GU(K): Media</v>
      </c>
      <c r="AB21" s="218"/>
      <c r="AC21" s="218"/>
      <c r="AD21" s="218">
        <f t="shared" si="20"/>
        <v>0.995101773423684</v>
      </c>
      <c r="AE21" s="215">
        <v>1</v>
      </c>
      <c r="AF21" s="218">
        <f t="shared" si="21"/>
        <v>1.004898226576316</v>
      </c>
      <c r="AG21" s="216">
        <f t="shared" ref="AG21" si="48">+AF21-AD21</f>
        <v>9.7964531526320009E-3</v>
      </c>
      <c r="AH21" s="216">
        <f t="shared" ref="AH21" si="49">+AG21-L21</f>
        <v>-9.3675067702747583E-17</v>
      </c>
      <c r="AI21" s="218"/>
      <c r="AJ21" s="219">
        <f t="shared" ca="1" si="22"/>
        <v>2.7212369868422483E-2</v>
      </c>
      <c r="AK21" s="219"/>
      <c r="AL21" s="216">
        <f t="shared" ca="1" si="23"/>
        <v>0.98639381506578871</v>
      </c>
      <c r="AM21" s="216">
        <f t="shared" ca="1" si="24"/>
        <v>1</v>
      </c>
      <c r="AN21" s="216">
        <f t="shared" ca="1" si="25"/>
        <v>1.0136061849342113</v>
      </c>
      <c r="AO21" s="219"/>
      <c r="AP21" s="220" t="str">
        <f t="shared" ca="1" si="26"/>
        <v>#11: GU(Z): Analysis quality, P= 2,7%</v>
      </c>
      <c r="AQ21" s="220"/>
      <c r="AR21" s="219">
        <f t="shared" ca="1" si="27"/>
        <v>2.7212369868422483E-2</v>
      </c>
      <c r="AS21" s="219">
        <f t="shared" ca="1" si="28"/>
        <v>0.95092756712618098</v>
      </c>
      <c r="AT21" s="219">
        <f t="shared" ca="1" si="29"/>
        <v>1.1145023433722445</v>
      </c>
      <c r="AU21" s="219">
        <f t="shared" ca="1" si="30"/>
        <v>1.0327149552492128</v>
      </c>
      <c r="AV21" s="219"/>
      <c r="AW21" s="219">
        <f t="shared" ca="1" si="31"/>
        <v>0.95092756712618098</v>
      </c>
      <c r="AX21" s="219">
        <f t="shared" ca="1" si="32"/>
        <v>1.0327149552492128</v>
      </c>
      <c r="AY21" s="219">
        <f t="shared" ca="1" si="33"/>
        <v>1.1145023433722445</v>
      </c>
      <c r="AZ21" s="207"/>
      <c r="BA21" s="318">
        <f t="shared" si="34"/>
        <v>305.67059999999998</v>
      </c>
      <c r="BB21" s="319">
        <f t="shared" si="39"/>
        <v>0.98364252237539362</v>
      </c>
      <c r="BC21" s="319">
        <f t="shared" si="40"/>
        <v>1</v>
      </c>
      <c r="BD21" s="319">
        <f t="shared" si="41"/>
        <v>1.0817873881230318</v>
      </c>
      <c r="BE21" s="93">
        <f t="shared" si="42"/>
        <v>1.0130859820996849</v>
      </c>
      <c r="BF21" s="69">
        <f t="shared" si="43"/>
        <v>4</v>
      </c>
      <c r="BG21" s="93">
        <f t="shared" si="44"/>
        <v>3.7533320357081318E-2</v>
      </c>
      <c r="BH21" s="259">
        <f t="shared" si="45"/>
        <v>1.3085982099684923E-2</v>
      </c>
      <c r="BI21" s="259">
        <f t="shared" si="46"/>
        <v>0</v>
      </c>
    </row>
    <row r="22" spans="1:61" ht="29.6" thickBot="1">
      <c r="A22" s="88" t="s">
        <v>138</v>
      </c>
      <c r="B22" s="88">
        <v>1</v>
      </c>
      <c r="C22" s="70" t="s">
        <v>218</v>
      </c>
      <c r="D22" s="257">
        <v>-15</v>
      </c>
      <c r="E22" s="257">
        <v>10</v>
      </c>
      <c r="F22" s="257">
        <v>35</v>
      </c>
      <c r="H22" s="312">
        <f t="shared" si="8"/>
        <v>10</v>
      </c>
      <c r="I22" s="339">
        <f t="shared" si="9"/>
        <v>10</v>
      </c>
      <c r="J22" s="198">
        <v>1</v>
      </c>
      <c r="K22" s="69">
        <f t="shared" si="10"/>
        <v>100</v>
      </c>
      <c r="L22" s="86">
        <f t="shared" si="11"/>
        <v>2.7212369868422483E-2</v>
      </c>
      <c r="M22" s="67"/>
      <c r="N22" s="102" t="s">
        <v>162</v>
      </c>
      <c r="O22" s="384">
        <f t="shared" si="12"/>
        <v>0</v>
      </c>
      <c r="Q22" s="213">
        <v>1</v>
      </c>
      <c r="R22" s="213">
        <f t="shared" ca="1" si="13"/>
        <v>12</v>
      </c>
      <c r="S22" s="213">
        <f t="shared" ca="1" si="13"/>
        <v>12</v>
      </c>
      <c r="T22" s="242">
        <f t="shared" ca="1" si="14"/>
        <v>2.7213569868422483E-2</v>
      </c>
      <c r="U22" s="213">
        <f t="shared" ca="1" si="15"/>
        <v>11</v>
      </c>
      <c r="V22" s="215">
        <f t="shared" si="35"/>
        <v>2.7212369868422483E-2</v>
      </c>
      <c r="W22" s="216">
        <f t="shared" si="16"/>
        <v>0.95092756712618098</v>
      </c>
      <c r="X22" s="216">
        <f t="shared" si="17"/>
        <v>1.0327149552492128</v>
      </c>
      <c r="Y22" s="216">
        <f t="shared" si="18"/>
        <v>1.1145023433722445</v>
      </c>
      <c r="Z22" s="217">
        <f t="shared" si="19"/>
        <v>1.0327149552492128</v>
      </c>
      <c r="AA22" s="218" t="str">
        <f t="shared" si="36"/>
        <v>GU(Z): Analysis quality</v>
      </c>
      <c r="AB22" s="218"/>
      <c r="AC22" s="218"/>
      <c r="AD22" s="218">
        <f t="shared" si="20"/>
        <v>0.98639381506578871</v>
      </c>
      <c r="AE22" s="215">
        <v>1</v>
      </c>
      <c r="AF22" s="218">
        <f t="shared" si="21"/>
        <v>1.0136061849342113</v>
      </c>
      <c r="AG22" s="216">
        <f t="shared" si="37"/>
        <v>2.721236986842257E-2</v>
      </c>
      <c r="AH22" s="216">
        <f t="shared" si="38"/>
        <v>8.6736173798840355E-17</v>
      </c>
      <c r="AI22" s="218"/>
      <c r="AJ22" s="215">
        <f t="shared" ca="1" si="22"/>
        <v>1.3334061235527018E-2</v>
      </c>
      <c r="AK22" s="215"/>
      <c r="AL22" s="216">
        <f t="shared" ca="1" si="23"/>
        <v>0.99333296938223647</v>
      </c>
      <c r="AM22" s="216">
        <f t="shared" ca="1" si="24"/>
        <v>1</v>
      </c>
      <c r="AN22" s="216">
        <f t="shared" ca="1" si="25"/>
        <v>1.0066670306177634</v>
      </c>
      <c r="AO22" s="215"/>
      <c r="AP22" s="220" t="str">
        <f t="shared" ca="1" si="26"/>
        <v>#12: GU(G): Construction market index, P= 1,3%</v>
      </c>
      <c r="AQ22" s="215"/>
      <c r="AR22" s="215">
        <f t="shared" ca="1" si="27"/>
        <v>1.3334061235527018E-2</v>
      </c>
      <c r="AS22" s="215">
        <f t="shared" ca="1" si="28"/>
        <v>0.96728504475078725</v>
      </c>
      <c r="AT22" s="215">
        <f t="shared" ca="1" si="29"/>
        <v>1.0817873881230318</v>
      </c>
      <c r="AU22" s="215">
        <f t="shared" ca="1" si="30"/>
        <v>1.0163574776246063</v>
      </c>
      <c r="AV22" s="215"/>
      <c r="AW22" s="219">
        <f t="shared" ca="1" si="31"/>
        <v>0.96728504475078725</v>
      </c>
      <c r="AX22" s="219">
        <f t="shared" ca="1" si="32"/>
        <v>1.0163574776246063</v>
      </c>
      <c r="AY22" s="219">
        <f t="shared" ca="1" si="33"/>
        <v>1.0817873881230318</v>
      </c>
      <c r="AZ22" s="207"/>
      <c r="BA22" s="318">
        <f t="shared" si="34"/>
        <v>305.67059999999998</v>
      </c>
      <c r="BB22" s="319">
        <f t="shared" si="39"/>
        <v>0.95092756712618098</v>
      </c>
      <c r="BC22" s="319">
        <f t="shared" si="40"/>
        <v>1.0327149552492128</v>
      </c>
      <c r="BD22" s="319">
        <f t="shared" si="41"/>
        <v>1.1145023433722445</v>
      </c>
      <c r="BE22" s="93">
        <f t="shared" si="42"/>
        <v>1.0327149552492128</v>
      </c>
      <c r="BF22" s="69">
        <f t="shared" si="43"/>
        <v>10</v>
      </c>
      <c r="BG22" s="93">
        <f t="shared" si="44"/>
        <v>9.3833300892703295E-2</v>
      </c>
      <c r="BH22" s="328">
        <f t="shared" si="45"/>
        <v>3.2714955249212752E-2</v>
      </c>
      <c r="BI22" s="328">
        <f t="shared" si="46"/>
        <v>0</v>
      </c>
    </row>
    <row r="23" spans="1:61" ht="30.9" customHeight="1" thickBot="1">
      <c r="A23" s="13"/>
      <c r="B23" s="13"/>
      <c r="C23" s="24"/>
      <c r="D23" s="72" t="str">
        <f>+_xlfn.CONCAT(C10," :")</f>
        <v>General Uncertainties :</v>
      </c>
      <c r="E23" s="73"/>
      <c r="F23" s="74"/>
      <c r="H23" s="338">
        <f>+SUM(H11:H22)</f>
        <v>120.5</v>
      </c>
      <c r="I23" s="340">
        <f>100%+IFERROR(Mean_GUs/Mean_Tasks,0%)</f>
        <v>1.3226581329522413</v>
      </c>
      <c r="J23" s="199"/>
      <c r="K23" s="75">
        <f>+IFERROR(SUM(K11:K22),0)</f>
        <v>2784.25</v>
      </c>
      <c r="L23" s="127">
        <f>+SUM(L11:L22)</f>
        <v>0.75766040806155299</v>
      </c>
      <c r="M23" s="63"/>
      <c r="N23" s="134"/>
      <c r="O23" s="384"/>
      <c r="Q23" s="135"/>
      <c r="R23" s="135"/>
      <c r="S23" s="135"/>
      <c r="T23" s="242"/>
      <c r="U23" s="136"/>
      <c r="V23" s="136"/>
      <c r="W23" s="136"/>
      <c r="X23" s="136"/>
      <c r="Y23" s="136"/>
      <c r="Z23" s="136"/>
      <c r="AA23" s="218"/>
      <c r="AB23" s="218"/>
      <c r="AC23" s="218"/>
      <c r="AD23" s="218"/>
      <c r="AE23" s="218"/>
      <c r="AF23" s="218"/>
      <c r="AG23" s="218"/>
      <c r="AH23" s="218"/>
      <c r="AI23" s="218"/>
      <c r="AJ23" s="136"/>
      <c r="AK23" s="136"/>
      <c r="AL23" s="136"/>
      <c r="AM23" s="136"/>
      <c r="AN23" s="136"/>
      <c r="AO23" s="136"/>
      <c r="AP23" s="214"/>
      <c r="AQ23" s="214"/>
      <c r="AR23" s="214"/>
      <c r="AS23" s="214"/>
      <c r="AT23" s="136"/>
      <c r="AU23" s="214"/>
      <c r="AV23" s="214"/>
      <c r="AW23" s="214"/>
      <c r="AX23" s="214"/>
      <c r="AY23" s="214"/>
      <c r="AZ23" s="221"/>
      <c r="BB23" s="58"/>
      <c r="BF23" s="75">
        <f>+SUM(BF11:BF22)</f>
        <v>106.57197290154826</v>
      </c>
      <c r="BG23" s="256">
        <f>+SUM(BG11:BG22)</f>
        <v>2.5707532259358614</v>
      </c>
      <c r="BH23" s="329">
        <f>100%+SUM(BH11:BH22)</f>
        <v>1.4073011928526982</v>
      </c>
      <c r="BI23" s="329">
        <f>100%+SUM(BI11:BI22)</f>
        <v>1</v>
      </c>
    </row>
    <row r="24" spans="1:61" ht="22.85" customHeight="1">
      <c r="A24" s="13"/>
      <c r="B24" s="13"/>
      <c r="C24" s="1"/>
      <c r="D24" s="1"/>
      <c r="E24" s="1"/>
      <c r="F24" s="212" t="s">
        <v>130</v>
      </c>
      <c r="H24" s="255">
        <f>UncertaintyAnalysis</f>
        <v>0.12719386838943902</v>
      </c>
      <c r="I24" s="270"/>
      <c r="J24" s="200"/>
      <c r="K24" s="347" t="s">
        <v>6</v>
      </c>
      <c r="L24" s="348">
        <f>+UncertaintyShare_GeneralUncert+UncertaintyShare_Tasks</f>
        <v>1</v>
      </c>
      <c r="N24" s="120" t="s">
        <v>168</v>
      </c>
      <c r="Q24" s="137"/>
      <c r="R24" s="136"/>
      <c r="S24" s="136"/>
      <c r="T24" s="242"/>
      <c r="U24" s="136"/>
      <c r="V24" s="136"/>
      <c r="W24" s="136"/>
      <c r="X24" s="136"/>
      <c r="Y24" s="136"/>
      <c r="Z24" s="136"/>
      <c r="AA24" s="136"/>
      <c r="AB24" s="136"/>
      <c r="AC24" s="136"/>
      <c r="AD24" s="136"/>
      <c r="AE24" s="136"/>
      <c r="AF24" s="136"/>
      <c r="AG24" s="136"/>
      <c r="AH24" s="136"/>
      <c r="AI24" s="136"/>
      <c r="AJ24" s="136"/>
      <c r="AK24" s="136"/>
      <c r="AL24" s="136"/>
      <c r="AM24" s="136"/>
      <c r="AN24" s="136"/>
      <c r="AO24" s="136"/>
      <c r="AP24" s="214"/>
      <c r="AQ24" s="214"/>
      <c r="AR24" s="214"/>
      <c r="AS24" s="214"/>
      <c r="AT24" s="136"/>
      <c r="AU24" s="214"/>
      <c r="AV24" s="214"/>
      <c r="AW24" s="214"/>
      <c r="AX24" s="214"/>
      <c r="AY24" s="214"/>
      <c r="BA24" s="221"/>
      <c r="BB24" s="264" t="str">
        <f>+C26</f>
        <v>Tasks</v>
      </c>
    </row>
    <row r="25" spans="1:61" ht="20.149999999999999" customHeight="1">
      <c r="A25" s="13"/>
      <c r="B25" s="13"/>
      <c r="C25" s="1"/>
      <c r="D25" s="158" t="s">
        <v>139</v>
      </c>
      <c r="E25" s="157" t="s">
        <v>62</v>
      </c>
      <c r="I25" s="234"/>
      <c r="N25" s="22"/>
      <c r="Q25" s="137"/>
      <c r="R25" s="136"/>
      <c r="S25" s="136"/>
      <c r="T25" s="242"/>
      <c r="U25" s="136"/>
      <c r="V25" s="136"/>
      <c r="W25" s="136"/>
      <c r="X25" s="136"/>
      <c r="Y25" s="136"/>
      <c r="Z25" s="136"/>
      <c r="AA25" s="136"/>
      <c r="AB25" s="136"/>
      <c r="AC25" s="136"/>
      <c r="AD25" s="136"/>
      <c r="AE25" s="136"/>
      <c r="AF25" s="136"/>
      <c r="AG25" s="136"/>
      <c r="AH25" s="136"/>
      <c r="AI25" s="136"/>
      <c r="AJ25" s="136"/>
      <c r="AK25" s="136"/>
      <c r="AL25" s="136"/>
      <c r="AM25" s="136"/>
      <c r="AN25" s="136"/>
      <c r="AO25" s="136"/>
      <c r="AP25" s="214"/>
      <c r="AQ25" s="214"/>
      <c r="AR25" s="214"/>
      <c r="AS25" s="214"/>
      <c r="AT25" s="136"/>
      <c r="AU25" s="214"/>
      <c r="AV25" s="214"/>
      <c r="AW25" s="214"/>
      <c r="AX25" s="214"/>
      <c r="AY25" s="214"/>
      <c r="BA25" s="212" t="s">
        <v>102</v>
      </c>
      <c r="BB25" s="316">
        <f>+SUMIFS($H$27:$H$39,$H$27:$H$39,"&lt;0")</f>
        <v>0</v>
      </c>
      <c r="BC25" s="341">
        <f>+IFERROR(ABS(Task_Sum_Costs)/$BB$27,0)</f>
        <v>0</v>
      </c>
    </row>
    <row r="26" spans="1:61" s="63" customFormat="1" ht="22.85" customHeight="1">
      <c r="A26" s="160" t="str">
        <f>+A10</f>
        <v>Ref.</v>
      </c>
      <c r="B26" s="160" t="str">
        <f>+B10</f>
        <v>Incl.</v>
      </c>
      <c r="C26" s="161" t="s">
        <v>140</v>
      </c>
      <c r="D26" s="345" t="str">
        <f>+$D$10</f>
        <v>Min</v>
      </c>
      <c r="E26" s="271" t="str">
        <f>+$E$10</f>
        <v>M.L.</v>
      </c>
      <c r="F26" s="272" t="str">
        <f>+$F$10</f>
        <v>Max</v>
      </c>
      <c r="G26"/>
      <c r="H26" s="165" t="str">
        <f>+$H$10</f>
        <v>Mean</v>
      </c>
      <c r="I26" s="166" t="str">
        <f>+$I$10</f>
        <v>Std</v>
      </c>
      <c r="J26" s="167" t="str">
        <f>+$J$10</f>
        <v>Criticality</v>
      </c>
      <c r="K26" s="167" t="str">
        <f>+$K$10</f>
        <v>Var</v>
      </c>
      <c r="L26" s="168" t="s">
        <v>4</v>
      </c>
      <c r="M26" s="169"/>
      <c r="N26" s="170" t="s">
        <v>20</v>
      </c>
      <c r="O26" s="166" t="str">
        <f>+O10</f>
        <v>Skewness</v>
      </c>
      <c r="P26" s="13"/>
      <c r="Q26" s="222"/>
      <c r="R26" s="223"/>
      <c r="S26" s="223"/>
      <c r="T26" s="243"/>
      <c r="U26" s="223"/>
      <c r="V26" s="223"/>
      <c r="W26" s="223"/>
      <c r="X26" s="223"/>
      <c r="Y26" s="223"/>
      <c r="Z26" s="223"/>
      <c r="AA26" s="223"/>
      <c r="AB26" s="223"/>
      <c r="AC26" s="223"/>
      <c r="AD26" s="223"/>
      <c r="AE26" s="223"/>
      <c r="AF26" s="223"/>
      <c r="AG26" s="223"/>
      <c r="AH26" s="223"/>
      <c r="AI26" s="223"/>
      <c r="AJ26" s="223"/>
      <c r="AK26" s="223"/>
      <c r="AL26" s="223"/>
      <c r="AM26" s="223"/>
      <c r="AN26" s="223"/>
      <c r="AO26" s="223"/>
      <c r="AP26" s="224"/>
      <c r="AQ26" s="224"/>
      <c r="AR26" s="224"/>
      <c r="AS26" s="224"/>
      <c r="AT26" s="223"/>
      <c r="AU26" s="224"/>
      <c r="AV26" s="224"/>
      <c r="AW26" s="224"/>
      <c r="AX26" s="224"/>
      <c r="AY26" s="224"/>
      <c r="BA26" s="212" t="s">
        <v>103</v>
      </c>
      <c r="BB26" s="316">
        <f>+SUMIFS($H$27:$H$39,$H$27:$H$39,"&gt;0")</f>
        <v>305.67059999999998</v>
      </c>
      <c r="BC26" s="341">
        <f>+IFERROR(ABS(Task_Sum_Income)/$BB$27,0)</f>
        <v>1</v>
      </c>
    </row>
    <row r="27" spans="1:61" ht="30.9">
      <c r="A27" s="88">
        <v>11</v>
      </c>
      <c r="B27" s="88">
        <v>1</v>
      </c>
      <c r="C27" s="44" t="s">
        <v>193</v>
      </c>
      <c r="D27" s="257">
        <v>5</v>
      </c>
      <c r="E27" s="257">
        <v>10</v>
      </c>
      <c r="F27" s="257">
        <v>35</v>
      </c>
      <c r="G27" s="386">
        <f>+SUM(H27:H33)/Mean_Tasks</f>
        <v>0.70422480470074234</v>
      </c>
      <c r="H27" s="327">
        <f t="shared" ref="H27:H39" si="50">+$B27*(D27+FaktorA*E27+F27)/DivisorA</f>
        <v>14</v>
      </c>
      <c r="I27" s="69">
        <f t="shared" ref="I27:I39" si="51">+$B27*(F27-D27)/DivisorB</f>
        <v>6</v>
      </c>
      <c r="J27" s="197">
        <v>1</v>
      </c>
      <c r="K27" s="69">
        <f t="shared" ref="K27:K39" si="52">+I27*I27*J27</f>
        <v>36</v>
      </c>
      <c r="L27" s="86">
        <f t="shared" ref="L27:L32" si="53">+(IF(GrandTotal_Priority&lt;&gt;0,K27/GrandTotal_Priority,0))</f>
        <v>9.7964531526320946E-3</v>
      </c>
      <c r="M27" s="68"/>
      <c r="N27" s="388" t="s">
        <v>184</v>
      </c>
      <c r="O27" s="384">
        <f t="shared" ref="O27:O39" si="54">+(IFERROR(((F27-E27)-(E27-D27))/E27,0))</f>
        <v>2</v>
      </c>
      <c r="Q27" s="213">
        <v>1</v>
      </c>
      <c r="R27" s="213">
        <f t="shared" ref="R27:R46" ca="1" si="55">+SUM(INDIRECT("q10:q"&amp;ROW()-0))</f>
        <v>13</v>
      </c>
      <c r="S27" s="371">
        <f t="shared" ref="S27:S46" ca="1" si="56">+SUM(INDIRECT("q25:q"&amp;ROW()-0))</f>
        <v>1</v>
      </c>
      <c r="T27" s="242">
        <f t="shared" ref="T27:T39" ca="1" si="57">+L27+R27*deltaId</f>
        <v>9.7977531526320938E-3</v>
      </c>
      <c r="U27" s="213">
        <f t="shared" ref="U27:U46" ca="1" si="58">+RANK(T27,T$11:T$52)</f>
        <v>13</v>
      </c>
      <c r="V27" s="215">
        <f t="shared" ref="V27:V39" si="59">+L27</f>
        <v>9.7964531526320946E-3</v>
      </c>
      <c r="W27" s="216">
        <f t="shared" ref="W27:W39" si="60">+IFERROR(D27/$H27,0)</f>
        <v>0.35714285714285715</v>
      </c>
      <c r="X27" s="216">
        <f t="shared" ref="X27:X39" si="61">+IFERROR(E27/$H27,0)</f>
        <v>0.7142857142857143</v>
      </c>
      <c r="Y27" s="216">
        <f t="shared" ref="Y27:Y39" si="62">+IFERROR(F27/$H27,0)</f>
        <v>2.5</v>
      </c>
      <c r="Z27" s="217">
        <f t="shared" ref="Z27:Z46" si="63">+$BC$11</f>
        <v>1.0327149552492128</v>
      </c>
      <c r="AA27" s="218" t="str">
        <f t="shared" ref="AA27:AA39" si="64">+CONCATENATE("Opg",A27,": ",$C27)</f>
        <v>Opg11: Demolition</v>
      </c>
      <c r="AB27" s="218"/>
      <c r="AC27" s="218"/>
      <c r="AD27" s="218">
        <f t="shared" ref="AD27:AD46" si="65">+$AE27-(1/2)*$K27/GrandTotal_Priority</f>
        <v>0.995101773423684</v>
      </c>
      <c r="AE27" s="215">
        <v>1</v>
      </c>
      <c r="AF27" s="218">
        <f t="shared" ref="AF27:AF46" si="66">+$AE27+(1/2)*$K27/GrandTotal_Priority</f>
        <v>1.004898226576316</v>
      </c>
      <c r="AG27" s="216">
        <f t="shared" ref="AG27" si="67">+AF27-AD27</f>
        <v>9.7964531526320009E-3</v>
      </c>
      <c r="AH27" s="216">
        <f>+AG27-L27</f>
        <v>-9.3675067702747583E-17</v>
      </c>
      <c r="AI27" s="218"/>
      <c r="AJ27" s="215">
        <f t="shared" ref="AJ27:AJ46" ca="1" si="68">+VLOOKUP($R27,$U$11:$AA$52,$V$9,FALSE)</f>
        <v>9.7964531526320946E-3</v>
      </c>
      <c r="AK27" s="215"/>
      <c r="AL27" s="215"/>
      <c r="AM27" s="215"/>
      <c r="AN27" s="215"/>
      <c r="AO27" s="215"/>
      <c r="AP27" s="215" t="str">
        <f t="shared" ref="AP27:AP46" ca="1" si="69">+CONCATENATE("#",R27,": ",VLOOKUP($R27,$U$11:$AA$52,$AA$9,FALSE))</f>
        <v>#13: Opg11: Demolition</v>
      </c>
      <c r="AQ27" s="215"/>
      <c r="AR27" s="215"/>
      <c r="AS27" s="215">
        <f t="shared" ref="AS27:AS46" ca="1" si="70">+VLOOKUP($R27,$U$11:$AA$52,$W$9,FALSE)</f>
        <v>0.35714285714285715</v>
      </c>
      <c r="AT27" s="215">
        <f t="shared" ref="AT27:AT46" ca="1" si="71">+VLOOKUP($R27,$U$11:$AA$52,$Y$9,FALSE)</f>
        <v>2.5</v>
      </c>
      <c r="AU27" s="215">
        <f t="shared" ref="AU27:AU46" ca="1" si="72">+VLOOKUP($R27,$U$11:$AA$52,$X$9,FALSE)</f>
        <v>0.7142857142857143</v>
      </c>
      <c r="AV27" s="215"/>
      <c r="AW27" s="215"/>
      <c r="AX27" s="215"/>
      <c r="AY27" s="215"/>
      <c r="BA27" s="225"/>
      <c r="BB27" s="316">
        <f>+ABS(Task_Sum_Costs)+ABS(Task_Sum_Income)</f>
        <v>305.67059999999998</v>
      </c>
    </row>
    <row r="28" spans="1:61" ht="15.45">
      <c r="A28" s="88">
        <v>12</v>
      </c>
      <c r="B28" s="88">
        <v>1</v>
      </c>
      <c r="C28" s="44" t="s">
        <v>194</v>
      </c>
      <c r="D28" s="257">
        <v>25</v>
      </c>
      <c r="E28" s="257">
        <v>30</v>
      </c>
      <c r="F28" s="257">
        <v>50</v>
      </c>
      <c r="H28" s="327">
        <f t="shared" si="50"/>
        <v>33</v>
      </c>
      <c r="I28" s="69">
        <f t="shared" si="51"/>
        <v>5</v>
      </c>
      <c r="J28" s="197">
        <v>1</v>
      </c>
      <c r="K28" s="69">
        <f t="shared" si="52"/>
        <v>25</v>
      </c>
      <c r="L28" s="86">
        <f t="shared" si="53"/>
        <v>6.8030924671056208E-3</v>
      </c>
      <c r="M28" s="68"/>
      <c r="N28" s="44"/>
      <c r="O28" s="384">
        <f t="shared" si="54"/>
        <v>0.5</v>
      </c>
      <c r="Q28" s="213">
        <v>1</v>
      </c>
      <c r="R28" s="213">
        <f t="shared" ca="1" si="55"/>
        <v>14</v>
      </c>
      <c r="S28" s="213">
        <f t="shared" ca="1" si="56"/>
        <v>2</v>
      </c>
      <c r="T28" s="242">
        <f t="shared" ca="1" si="57"/>
        <v>6.8044924671056212E-3</v>
      </c>
      <c r="U28" s="213">
        <f t="shared" ca="1" si="58"/>
        <v>17</v>
      </c>
      <c r="V28" s="215">
        <f t="shared" si="59"/>
        <v>6.8030924671056208E-3</v>
      </c>
      <c r="W28" s="216">
        <f t="shared" si="60"/>
        <v>0.75757575757575757</v>
      </c>
      <c r="X28" s="216">
        <f t="shared" si="61"/>
        <v>0.90909090909090906</v>
      </c>
      <c r="Y28" s="216">
        <f t="shared" si="62"/>
        <v>1.5151515151515151</v>
      </c>
      <c r="Z28" s="217">
        <f t="shared" si="63"/>
        <v>1.0327149552492128</v>
      </c>
      <c r="AA28" s="218" t="str">
        <f t="shared" si="64"/>
        <v>Opg12: Building site</v>
      </c>
      <c r="AB28" s="218"/>
      <c r="AC28" s="218"/>
      <c r="AD28" s="218">
        <f t="shared" si="65"/>
        <v>0.99659845376644718</v>
      </c>
      <c r="AE28" s="215">
        <v>1</v>
      </c>
      <c r="AF28" s="218">
        <f t="shared" si="66"/>
        <v>1.0034015462335528</v>
      </c>
      <c r="AG28" s="216">
        <f t="shared" ref="AG28:AG31" si="73">+AF28-AD28</f>
        <v>6.8030924671056425E-3</v>
      </c>
      <c r="AH28" s="216">
        <f t="shared" ref="AH28:AH31" si="74">+AG28-L28</f>
        <v>2.1684043449710089E-17</v>
      </c>
      <c r="AI28" s="218"/>
      <c r="AJ28" s="215">
        <f t="shared" ca="1" si="68"/>
        <v>9.7964531526320946E-3</v>
      </c>
      <c r="AK28" s="215"/>
      <c r="AL28" s="215"/>
      <c r="AM28" s="215"/>
      <c r="AN28" s="215"/>
      <c r="AO28" s="215"/>
      <c r="AP28" s="215" t="str">
        <f t="shared" ca="1" si="69"/>
        <v>#14: GU(K): Media</v>
      </c>
      <c r="AQ28" s="215"/>
      <c r="AR28" s="215"/>
      <c r="AS28" s="215">
        <f t="shared" ca="1" si="70"/>
        <v>0.98364252237539362</v>
      </c>
      <c r="AT28" s="215">
        <f t="shared" ca="1" si="71"/>
        <v>1.0817873881230318</v>
      </c>
      <c r="AU28" s="215">
        <f t="shared" ca="1" si="72"/>
        <v>1</v>
      </c>
      <c r="AV28" s="215"/>
      <c r="AW28" s="215"/>
      <c r="AX28" s="215"/>
      <c r="AY28" s="215"/>
      <c r="AZ28" s="225"/>
    </row>
    <row r="29" spans="1:61" ht="18.350000000000001" customHeight="1">
      <c r="A29" s="88">
        <v>13</v>
      </c>
      <c r="B29" s="88">
        <v>1</v>
      </c>
      <c r="C29" s="44" t="s">
        <v>195</v>
      </c>
      <c r="D29" s="257">
        <v>75</v>
      </c>
      <c r="E29" s="257">
        <v>100</v>
      </c>
      <c r="F29" s="257">
        <v>150</v>
      </c>
      <c r="H29" s="327">
        <f t="shared" si="50"/>
        <v>105</v>
      </c>
      <c r="I29" s="69">
        <f t="shared" si="51"/>
        <v>15</v>
      </c>
      <c r="J29" s="197">
        <v>1</v>
      </c>
      <c r="K29" s="69">
        <f t="shared" si="52"/>
        <v>225</v>
      </c>
      <c r="L29" s="86">
        <f t="shared" si="53"/>
        <v>6.1227832203950588E-2</v>
      </c>
      <c r="M29" s="68"/>
      <c r="N29" s="44" t="s">
        <v>185</v>
      </c>
      <c r="O29" s="384">
        <f t="shared" si="54"/>
        <v>0.25</v>
      </c>
      <c r="Q29" s="213">
        <v>1</v>
      </c>
      <c r="R29" s="213">
        <f t="shared" ca="1" si="55"/>
        <v>15</v>
      </c>
      <c r="S29" s="213">
        <f t="shared" ca="1" si="56"/>
        <v>3</v>
      </c>
      <c r="T29" s="242">
        <f t="shared" ca="1" si="57"/>
        <v>6.122933220395059E-2</v>
      </c>
      <c r="U29" s="213">
        <f t="shared" ca="1" si="58"/>
        <v>6</v>
      </c>
      <c r="V29" s="215">
        <f t="shared" si="59"/>
        <v>6.1227832203950588E-2</v>
      </c>
      <c r="W29" s="216">
        <f t="shared" si="60"/>
        <v>0.7142857142857143</v>
      </c>
      <c r="X29" s="216">
        <f t="shared" si="61"/>
        <v>0.95238095238095233</v>
      </c>
      <c r="Y29" s="216">
        <f t="shared" si="62"/>
        <v>1.4285714285714286</v>
      </c>
      <c r="Z29" s="217">
        <f t="shared" si="63"/>
        <v>1.0327149552492128</v>
      </c>
      <c r="AA29" s="218" t="str">
        <f t="shared" si="64"/>
        <v>Opg13: Raw house</v>
      </c>
      <c r="AB29" s="218"/>
      <c r="AC29" s="218"/>
      <c r="AD29" s="218">
        <f t="shared" si="65"/>
        <v>0.96938608389802472</v>
      </c>
      <c r="AE29" s="215">
        <v>1</v>
      </c>
      <c r="AF29" s="218">
        <f t="shared" si="66"/>
        <v>1.0306139161019754</v>
      </c>
      <c r="AG29" s="216">
        <f t="shared" si="73"/>
        <v>6.1227832203950672E-2</v>
      </c>
      <c r="AH29" s="216">
        <f t="shared" si="74"/>
        <v>8.3266726846886741E-17</v>
      </c>
      <c r="AI29" s="218"/>
      <c r="AJ29" s="215">
        <f t="shared" ca="1" si="68"/>
        <v>9.7964531526320946E-3</v>
      </c>
      <c r="AK29" s="215"/>
      <c r="AL29" s="215"/>
      <c r="AM29" s="215"/>
      <c r="AN29" s="215"/>
      <c r="AO29" s="215"/>
      <c r="AP29" s="215" t="str">
        <f t="shared" ca="1" si="69"/>
        <v>#15: GU(J): Geographic index</v>
      </c>
      <c r="AQ29" s="215"/>
      <c r="AR29" s="215"/>
      <c r="AS29" s="215">
        <f t="shared" ca="1" si="70"/>
        <v>1.0163574776246063</v>
      </c>
      <c r="AT29" s="215">
        <f t="shared" ca="1" si="71"/>
        <v>1.1145023433722445</v>
      </c>
      <c r="AU29" s="215">
        <f t="shared" ca="1" si="72"/>
        <v>1.049072432873819</v>
      </c>
      <c r="AV29" s="215"/>
      <c r="AW29" s="215"/>
      <c r="AX29" s="215"/>
      <c r="AY29" s="215"/>
      <c r="AZ29" s="225"/>
    </row>
    <row r="30" spans="1:61" ht="17.149999999999999" customHeight="1">
      <c r="A30" s="88">
        <v>14</v>
      </c>
      <c r="B30" s="88">
        <v>1</v>
      </c>
      <c r="C30" s="44" t="s">
        <v>196</v>
      </c>
      <c r="D30" s="257">
        <v>6</v>
      </c>
      <c r="E30" s="257">
        <v>10</v>
      </c>
      <c r="F30" s="257">
        <v>15</v>
      </c>
      <c r="H30" s="327">
        <f>+$B30*(D30+FaktorA*E30+F30)/DivisorA</f>
        <v>10.199999999999999</v>
      </c>
      <c r="I30" s="69">
        <f t="shared" si="51"/>
        <v>1.8</v>
      </c>
      <c r="J30" s="197">
        <v>1</v>
      </c>
      <c r="K30" s="69">
        <f t="shared" si="52"/>
        <v>3.24</v>
      </c>
      <c r="L30" s="86">
        <f t="shared" si="53"/>
        <v>8.8168078373688857E-4</v>
      </c>
      <c r="M30" s="68"/>
      <c r="N30" s="44"/>
      <c r="O30" s="384">
        <f t="shared" si="54"/>
        <v>0.1</v>
      </c>
      <c r="Q30" s="213">
        <v>1</v>
      </c>
      <c r="R30" s="213">
        <f t="shared" ca="1" si="55"/>
        <v>16</v>
      </c>
      <c r="S30" s="213">
        <f t="shared" ca="1" si="56"/>
        <v>4</v>
      </c>
      <c r="T30" s="242">
        <f t="shared" ca="1" si="57"/>
        <v>8.8328078373688861E-4</v>
      </c>
      <c r="U30" s="213">
        <f t="shared" ca="1" si="58"/>
        <v>20</v>
      </c>
      <c r="V30" s="215">
        <f t="shared" si="59"/>
        <v>8.8168078373688857E-4</v>
      </c>
      <c r="W30" s="216">
        <f t="shared" si="60"/>
        <v>0.58823529411764708</v>
      </c>
      <c r="X30" s="216">
        <f t="shared" si="61"/>
        <v>0.98039215686274517</v>
      </c>
      <c r="Y30" s="216">
        <f t="shared" si="62"/>
        <v>1.4705882352941178</v>
      </c>
      <c r="Z30" s="217">
        <f t="shared" si="63"/>
        <v>1.0327149552492128</v>
      </c>
      <c r="AA30" s="218" t="str">
        <f t="shared" si="64"/>
        <v>Opg14: Closing facades</v>
      </c>
      <c r="AB30" s="218"/>
      <c r="AC30" s="218"/>
      <c r="AD30" s="218">
        <f t="shared" si="65"/>
        <v>0.99955915960813158</v>
      </c>
      <c r="AE30" s="215">
        <v>1</v>
      </c>
      <c r="AF30" s="218">
        <f t="shared" si="66"/>
        <v>1.0004408403918685</v>
      </c>
      <c r="AG30" s="216">
        <f t="shared" si="73"/>
        <v>8.8168078373696002E-4</v>
      </c>
      <c r="AH30" s="216">
        <f t="shared" si="74"/>
        <v>7.1448923166794742E-17</v>
      </c>
      <c r="AI30" s="218"/>
      <c r="AJ30" s="215">
        <f t="shared" ca="1" si="68"/>
        <v>6.8030924671056208E-3</v>
      </c>
      <c r="AK30" s="215"/>
      <c r="AL30" s="215"/>
      <c r="AM30" s="215"/>
      <c r="AN30" s="215"/>
      <c r="AO30" s="215"/>
      <c r="AP30" s="215" t="str">
        <f t="shared" ca="1" si="69"/>
        <v>#16: Opg31: Land purchase</v>
      </c>
      <c r="AQ30" s="215"/>
      <c r="AR30" s="215"/>
      <c r="AS30" s="215">
        <f t="shared" ca="1" si="70"/>
        <v>0.55555555555555558</v>
      </c>
      <c r="AT30" s="215">
        <f t="shared" ca="1" si="71"/>
        <v>1.9444444444444444</v>
      </c>
      <c r="AU30" s="215">
        <f t="shared" ca="1" si="72"/>
        <v>0.83333333333333337</v>
      </c>
      <c r="AV30" s="215"/>
      <c r="AW30" s="215"/>
      <c r="AX30" s="215"/>
      <c r="AY30" s="215"/>
      <c r="AZ30" s="225"/>
    </row>
    <row r="31" spans="1:61" ht="18.899999999999999" customHeight="1">
      <c r="A31" s="88">
        <v>15</v>
      </c>
      <c r="B31" s="88">
        <v>1</v>
      </c>
      <c r="C31" s="44" t="s">
        <v>225</v>
      </c>
      <c r="D31" s="257">
        <v>10</v>
      </c>
      <c r="E31" s="257">
        <v>45</v>
      </c>
      <c r="F31" s="257">
        <v>100</v>
      </c>
      <c r="H31" s="327">
        <f t="shared" si="50"/>
        <v>49</v>
      </c>
      <c r="I31" s="69">
        <f t="shared" si="51"/>
        <v>18</v>
      </c>
      <c r="J31" s="197">
        <v>1</v>
      </c>
      <c r="K31" s="69">
        <f t="shared" si="52"/>
        <v>324</v>
      </c>
      <c r="L31" s="86">
        <f t="shared" si="53"/>
        <v>8.8168078373688855E-2</v>
      </c>
      <c r="M31" s="68"/>
      <c r="N31" s="44" t="s">
        <v>186</v>
      </c>
      <c r="O31" s="384">
        <f t="shared" si="54"/>
        <v>0.44444444444444442</v>
      </c>
      <c r="Q31" s="213">
        <v>1</v>
      </c>
      <c r="R31" s="213">
        <f t="shared" ca="1" si="55"/>
        <v>17</v>
      </c>
      <c r="S31" s="213">
        <f t="shared" ca="1" si="56"/>
        <v>5</v>
      </c>
      <c r="T31" s="242">
        <f t="shared" ca="1" si="57"/>
        <v>8.8169778373688848E-2</v>
      </c>
      <c r="U31" s="213">
        <f t="shared" ca="1" si="58"/>
        <v>5</v>
      </c>
      <c r="V31" s="215">
        <f t="shared" si="59"/>
        <v>8.8168078373688855E-2</v>
      </c>
      <c r="W31" s="216">
        <f t="shared" si="60"/>
        <v>0.20408163265306123</v>
      </c>
      <c r="X31" s="216">
        <f t="shared" si="61"/>
        <v>0.91836734693877553</v>
      </c>
      <c r="Y31" s="216">
        <f t="shared" si="62"/>
        <v>2.0408163265306123</v>
      </c>
      <c r="Z31" s="217">
        <f t="shared" si="63"/>
        <v>1.0327149552492128</v>
      </c>
      <c r="AA31" s="218" t="str">
        <f t="shared" si="64"/>
        <v>Opg15: Accommodation</v>
      </c>
      <c r="AB31" s="218"/>
      <c r="AC31" s="218"/>
      <c r="AD31" s="218">
        <f t="shared" si="65"/>
        <v>0.95591596081315555</v>
      </c>
      <c r="AE31" s="215">
        <v>1</v>
      </c>
      <c r="AF31" s="218">
        <f t="shared" si="66"/>
        <v>1.0440840391868444</v>
      </c>
      <c r="AG31" s="216">
        <f t="shared" si="73"/>
        <v>8.8168078373688896E-2</v>
      </c>
      <c r="AH31" s="216">
        <f t="shared" si="74"/>
        <v>0</v>
      </c>
      <c r="AI31" s="218"/>
      <c r="AJ31" s="215">
        <f t="shared" ca="1" si="68"/>
        <v>6.8030924671056208E-3</v>
      </c>
      <c r="AK31" s="215"/>
      <c r="AL31" s="215"/>
      <c r="AM31" s="215"/>
      <c r="AN31" s="215"/>
      <c r="AO31" s="215"/>
      <c r="AP31" s="215" t="str">
        <f t="shared" ca="1" si="69"/>
        <v>#17: Opg12: Building site</v>
      </c>
      <c r="AQ31" s="215"/>
      <c r="AR31" s="215"/>
      <c r="AS31" s="215">
        <f t="shared" ca="1" si="70"/>
        <v>0.75757575757575757</v>
      </c>
      <c r="AT31" s="215">
        <f t="shared" ca="1" si="71"/>
        <v>1.5151515151515151</v>
      </c>
      <c r="AU31" s="215">
        <f t="shared" ca="1" si="72"/>
        <v>0.90909090909090906</v>
      </c>
      <c r="AV31" s="215"/>
      <c r="AW31" s="215"/>
      <c r="AX31" s="215"/>
      <c r="AY31" s="215"/>
      <c r="AZ31" s="225"/>
    </row>
    <row r="32" spans="1:61" ht="15" customHeight="1">
      <c r="A32" s="88">
        <v>16</v>
      </c>
      <c r="B32" s="88">
        <v>1</v>
      </c>
      <c r="C32" s="44" t="s">
        <v>197</v>
      </c>
      <c r="D32" s="257">
        <v>20</v>
      </c>
      <c r="E32" s="257">
        <v>35</v>
      </c>
      <c r="F32" s="257">
        <v>75</v>
      </c>
      <c r="H32" s="327">
        <f t="shared" si="50"/>
        <v>40</v>
      </c>
      <c r="I32" s="69">
        <f t="shared" si="51"/>
        <v>11</v>
      </c>
      <c r="J32" s="197">
        <v>1</v>
      </c>
      <c r="K32" s="69">
        <f t="shared" si="52"/>
        <v>121</v>
      </c>
      <c r="L32" s="86">
        <f t="shared" si="53"/>
        <v>3.2926967540791205E-2</v>
      </c>
      <c r="M32" s="68"/>
      <c r="N32" s="44"/>
      <c r="O32" s="384">
        <f t="shared" si="54"/>
        <v>0.7142857142857143</v>
      </c>
      <c r="Q32" s="213">
        <v>2</v>
      </c>
      <c r="R32" s="213">
        <f t="shared" ca="1" si="55"/>
        <v>19</v>
      </c>
      <c r="S32" s="213">
        <f t="shared" ca="1" si="56"/>
        <v>7</v>
      </c>
      <c r="T32" s="242">
        <f t="shared" ca="1" si="57"/>
        <v>3.2928867540791204E-2</v>
      </c>
      <c r="U32" s="213">
        <f t="shared" ca="1" si="58"/>
        <v>10</v>
      </c>
      <c r="V32" s="215">
        <f t="shared" ref="V32" si="75">+L32</f>
        <v>3.2926967540791205E-2</v>
      </c>
      <c r="W32" s="216">
        <f t="shared" si="60"/>
        <v>0.5</v>
      </c>
      <c r="X32" s="216">
        <f t="shared" si="61"/>
        <v>0.875</v>
      </c>
      <c r="Y32" s="216">
        <f t="shared" si="62"/>
        <v>1.875</v>
      </c>
      <c r="Z32" s="217">
        <f t="shared" si="63"/>
        <v>1.0327149552492128</v>
      </c>
      <c r="AA32" s="218" t="str">
        <f t="shared" si="64"/>
        <v>Opg16: Installations</v>
      </c>
      <c r="AB32" s="218"/>
      <c r="AC32" s="218"/>
      <c r="AD32" s="218">
        <f t="shared" si="65"/>
        <v>0.98353651622960436</v>
      </c>
      <c r="AE32" s="215">
        <v>1</v>
      </c>
      <c r="AF32" s="218">
        <f t="shared" si="66"/>
        <v>1.0164634837703956</v>
      </c>
      <c r="AG32" s="216">
        <f t="shared" ref="AG32:AG39" si="76">+AF32-AD32</f>
        <v>3.2926967540791274E-2</v>
      </c>
      <c r="AH32" s="216">
        <f t="shared" ref="AH32:AH39" si="77">+AG32-L32</f>
        <v>6.9388939039072284E-17</v>
      </c>
      <c r="AI32" s="218"/>
      <c r="AJ32" s="215">
        <f t="shared" ca="1" si="68"/>
        <v>5.5105048983555534E-3</v>
      </c>
      <c r="AK32" s="215"/>
      <c r="AL32" s="215"/>
      <c r="AM32" s="215"/>
      <c r="AN32" s="215"/>
      <c r="AO32" s="215"/>
      <c r="AP32" s="215" t="str">
        <f t="shared" ca="1" si="69"/>
        <v>#19: GU(D): The Builders Org.</v>
      </c>
      <c r="AQ32" s="215"/>
      <c r="AR32" s="215"/>
      <c r="AS32" s="215">
        <f t="shared" ca="1" si="70"/>
        <v>0.98364252237539362</v>
      </c>
      <c r="AT32" s="215">
        <f t="shared" ca="1" si="71"/>
        <v>1.0572511716861221</v>
      </c>
      <c r="AU32" s="215">
        <f t="shared" ca="1" si="72"/>
        <v>1.0327149552492128</v>
      </c>
      <c r="AV32" s="215"/>
      <c r="AW32" s="215"/>
      <c r="AX32" s="215"/>
      <c r="AY32" s="215"/>
      <c r="AZ32" s="225"/>
    </row>
    <row r="33" spans="1:52" ht="15" customHeight="1">
      <c r="A33" s="88">
        <v>17</v>
      </c>
      <c r="B33" s="88">
        <v>1</v>
      </c>
      <c r="C33" s="44" t="s">
        <v>198</v>
      </c>
      <c r="D33" s="257">
        <v>8</v>
      </c>
      <c r="E33" s="257">
        <v>12</v>
      </c>
      <c r="F33" s="257">
        <v>15</v>
      </c>
      <c r="H33" s="327">
        <f t="shared" si="50"/>
        <v>11.8</v>
      </c>
      <c r="I33" s="69">
        <f t="shared" si="51"/>
        <v>1.4</v>
      </c>
      <c r="J33" s="197">
        <v>1</v>
      </c>
      <c r="K33" s="69">
        <f t="shared" si="52"/>
        <v>1.9599999999999997</v>
      </c>
      <c r="L33" s="86">
        <f t="shared" ref="L33:L39" si="78">+(IF(GrandTotal_Priority&lt;&gt;0,K33/GrandTotal_Priority,"0"))</f>
        <v>5.3336244942108065E-4</v>
      </c>
      <c r="M33" s="68"/>
      <c r="N33" s="44"/>
      <c r="O33" s="384">
        <f t="shared" si="54"/>
        <v>-8.3333333333333329E-2</v>
      </c>
      <c r="Q33" s="213">
        <v>1</v>
      </c>
      <c r="R33" s="213">
        <f t="shared" ca="1" si="55"/>
        <v>20</v>
      </c>
      <c r="S33" s="213">
        <f t="shared" ca="1" si="56"/>
        <v>8</v>
      </c>
      <c r="T33" s="242">
        <f t="shared" ca="1" si="57"/>
        <v>5.353624494210807E-4</v>
      </c>
      <c r="U33" s="213">
        <f t="shared" ca="1" si="58"/>
        <v>23</v>
      </c>
      <c r="V33" s="215">
        <f t="shared" si="59"/>
        <v>5.3336244942108065E-4</v>
      </c>
      <c r="W33" s="216">
        <f t="shared" si="60"/>
        <v>0.67796610169491522</v>
      </c>
      <c r="X33" s="216">
        <f t="shared" si="61"/>
        <v>1.0169491525423728</v>
      </c>
      <c r="Y33" s="216">
        <f t="shared" si="62"/>
        <v>1.271186440677966</v>
      </c>
      <c r="Z33" s="217">
        <f t="shared" si="63"/>
        <v>1.0327149552492128</v>
      </c>
      <c r="AA33" s="218" t="str">
        <f t="shared" si="64"/>
        <v>Opg17: Landscape</v>
      </c>
      <c r="AB33" s="218"/>
      <c r="AC33" s="218"/>
      <c r="AD33" s="218">
        <f t="shared" si="65"/>
        <v>0.99973331877528948</v>
      </c>
      <c r="AE33" s="215">
        <v>1</v>
      </c>
      <c r="AF33" s="218">
        <f t="shared" si="66"/>
        <v>1.0002666812247105</v>
      </c>
      <c r="AG33" s="216">
        <f t="shared" si="76"/>
        <v>5.3336244942103761E-4</v>
      </c>
      <c r="AH33" s="216">
        <f t="shared" si="77"/>
        <v>-4.3042826247674526E-17</v>
      </c>
      <c r="AI33" s="218"/>
      <c r="AJ33" s="215">
        <f t="shared" ca="1" si="68"/>
        <v>8.8168078373688857E-4</v>
      </c>
      <c r="AK33" s="215"/>
      <c r="AL33" s="215"/>
      <c r="AM33" s="215"/>
      <c r="AN33" s="215"/>
      <c r="AO33" s="215"/>
      <c r="AP33" s="215" t="str">
        <f t="shared" ca="1" si="69"/>
        <v>#20: Opg14: Closing facades</v>
      </c>
      <c r="AQ33" s="215"/>
      <c r="AR33" s="215"/>
      <c r="AS33" s="215">
        <f t="shared" ca="1" si="70"/>
        <v>0.58823529411764708</v>
      </c>
      <c r="AT33" s="215">
        <f t="shared" ca="1" si="71"/>
        <v>1.4705882352941178</v>
      </c>
      <c r="AU33" s="215">
        <f t="shared" ca="1" si="72"/>
        <v>0.98039215686274517</v>
      </c>
      <c r="AV33" s="215"/>
      <c r="AW33" s="215"/>
      <c r="AX33" s="215"/>
      <c r="AY33" s="215"/>
      <c r="AZ33" s="225"/>
    </row>
    <row r="34" spans="1:52" ht="15.45">
      <c r="A34" s="88">
        <v>21</v>
      </c>
      <c r="B34" s="88">
        <v>1</v>
      </c>
      <c r="C34" s="44" t="s">
        <v>208</v>
      </c>
      <c r="D34" s="387">
        <f>+E34*80%</f>
        <v>10.520000000000001</v>
      </c>
      <c r="E34" s="387">
        <f>5%*SUM(H$27:H$33)</f>
        <v>13.15</v>
      </c>
      <c r="F34" s="387">
        <f>+E34*125%</f>
        <v>16.4375</v>
      </c>
      <c r="G34" s="386">
        <f>+SUM(H34:H37)/Mean_Tasks</f>
        <v>6.0704178165203994E-2</v>
      </c>
      <c r="H34" s="327">
        <f t="shared" si="50"/>
        <v>13.281499999999999</v>
      </c>
      <c r="I34" s="69">
        <f t="shared" si="51"/>
        <v>1.1834999999999998</v>
      </c>
      <c r="J34" s="197">
        <v>1</v>
      </c>
      <c r="K34" s="69">
        <f t="shared" si="52"/>
        <v>1.4006722499999995</v>
      </c>
      <c r="L34" s="86">
        <f t="shared" si="78"/>
        <v>3.8115611331435509E-4</v>
      </c>
      <c r="M34" s="68"/>
      <c r="N34" s="44" t="s">
        <v>187</v>
      </c>
      <c r="O34" s="384">
        <f t="shared" si="54"/>
        <v>5.0000000000000044E-2</v>
      </c>
      <c r="Q34" s="213">
        <v>1</v>
      </c>
      <c r="R34" s="213">
        <f t="shared" ca="1" si="55"/>
        <v>21</v>
      </c>
      <c r="S34" s="213">
        <f t="shared" ca="1" si="56"/>
        <v>9</v>
      </c>
      <c r="T34" s="242">
        <f t="shared" ca="1" si="57"/>
        <v>3.8325611331435508E-4</v>
      </c>
      <c r="U34" s="213">
        <f t="shared" ca="1" si="58"/>
        <v>25</v>
      </c>
      <c r="V34" s="215">
        <f t="shared" si="59"/>
        <v>3.8115611331435509E-4</v>
      </c>
      <c r="W34" s="216">
        <f t="shared" si="60"/>
        <v>0.79207920792079223</v>
      </c>
      <c r="X34" s="216">
        <f t="shared" si="61"/>
        <v>0.9900990099009902</v>
      </c>
      <c r="Y34" s="216">
        <f t="shared" si="62"/>
        <v>1.2376237623762376</v>
      </c>
      <c r="Z34" s="217">
        <f t="shared" si="63"/>
        <v>1.0327149552492128</v>
      </c>
      <c r="AA34" s="218" t="str">
        <f t="shared" si="64"/>
        <v>Opg21: Projecting</v>
      </c>
      <c r="AB34" s="218"/>
      <c r="AC34" s="218"/>
      <c r="AD34" s="218">
        <f t="shared" si="65"/>
        <v>0.99980942194334277</v>
      </c>
      <c r="AE34" s="215">
        <v>1</v>
      </c>
      <c r="AF34" s="218">
        <f t="shared" si="66"/>
        <v>1.0001905780566571</v>
      </c>
      <c r="AG34" s="216">
        <f t="shared" si="76"/>
        <v>3.8115611331435151E-4</v>
      </c>
      <c r="AH34" s="216">
        <f t="shared" si="77"/>
        <v>-3.5778671692021646E-18</v>
      </c>
      <c r="AI34" s="218"/>
      <c r="AJ34" s="215">
        <f t="shared" ca="1" si="68"/>
        <v>5.5322329690753408E-4</v>
      </c>
      <c r="AK34" s="215"/>
      <c r="AL34" s="215"/>
      <c r="AM34" s="215"/>
      <c r="AN34" s="215"/>
      <c r="AO34" s="215"/>
      <c r="AP34" s="215" t="str">
        <f t="shared" ca="1" si="69"/>
        <v>#21: Opg38: Financing</v>
      </c>
      <c r="AQ34" s="215"/>
      <c r="AR34" s="215"/>
      <c r="AS34" s="215">
        <f t="shared" ca="1" si="70"/>
        <v>0.58823529411764697</v>
      </c>
      <c r="AT34" s="215">
        <f t="shared" ca="1" si="71"/>
        <v>1.4705882352941175</v>
      </c>
      <c r="AU34" s="215">
        <f t="shared" ca="1" si="72"/>
        <v>0.98039215686274495</v>
      </c>
      <c r="AV34" s="215"/>
      <c r="AW34" s="215"/>
      <c r="AX34" s="215"/>
      <c r="AY34" s="215"/>
      <c r="AZ34" s="225"/>
    </row>
    <row r="35" spans="1:52" ht="15.45">
      <c r="A35" s="88">
        <v>22</v>
      </c>
      <c r="B35" s="88">
        <v>1</v>
      </c>
      <c r="C35" s="44" t="s">
        <v>199</v>
      </c>
      <c r="D35" s="387">
        <f>+E35*60%</f>
        <v>3.9449999999999998</v>
      </c>
      <c r="E35" s="387">
        <f>2.5%*SUM(H$27:H$33)</f>
        <v>6.5750000000000002</v>
      </c>
      <c r="F35" s="387">
        <f>+E35*150%</f>
        <v>9.8625000000000007</v>
      </c>
      <c r="H35" s="327">
        <f t="shared" si="50"/>
        <v>6.7065000000000001</v>
      </c>
      <c r="I35" s="69">
        <f t="shared" si="51"/>
        <v>1.1835</v>
      </c>
      <c r="J35" s="197">
        <v>1</v>
      </c>
      <c r="K35" s="69">
        <f t="shared" si="52"/>
        <v>1.40067225</v>
      </c>
      <c r="L35" s="86">
        <f t="shared" si="78"/>
        <v>3.8115611331435525E-4</v>
      </c>
      <c r="M35" s="68"/>
      <c r="N35" s="44" t="s">
        <v>187</v>
      </c>
      <c r="O35" s="384">
        <f t="shared" si="54"/>
        <v>0.10000000000000003</v>
      </c>
      <c r="Q35" s="213">
        <v>1</v>
      </c>
      <c r="R35" s="213">
        <f t="shared" ca="1" si="55"/>
        <v>22</v>
      </c>
      <c r="S35" s="213">
        <f t="shared" ca="1" si="56"/>
        <v>10</v>
      </c>
      <c r="T35" s="242">
        <f t="shared" ca="1" si="57"/>
        <v>3.8335611331435525E-4</v>
      </c>
      <c r="U35" s="213">
        <f t="shared" ca="1" si="58"/>
        <v>24</v>
      </c>
      <c r="V35" s="215">
        <f t="shared" si="59"/>
        <v>3.8115611331435525E-4</v>
      </c>
      <c r="W35" s="216">
        <f t="shared" si="60"/>
        <v>0.58823529411764708</v>
      </c>
      <c r="X35" s="216">
        <f t="shared" si="61"/>
        <v>0.98039215686274506</v>
      </c>
      <c r="Y35" s="216">
        <f t="shared" si="62"/>
        <v>1.4705882352941178</v>
      </c>
      <c r="Z35" s="217">
        <f t="shared" si="63"/>
        <v>1.0327149552492128</v>
      </c>
      <c r="AA35" s="218" t="str">
        <f t="shared" si="64"/>
        <v>Opg22: Counselling</v>
      </c>
      <c r="AB35" s="218"/>
      <c r="AC35" s="218"/>
      <c r="AD35" s="218">
        <f t="shared" si="65"/>
        <v>0.99980942194334277</v>
      </c>
      <c r="AE35" s="215">
        <v>1</v>
      </c>
      <c r="AF35" s="218">
        <f t="shared" si="66"/>
        <v>1.0001905780566571</v>
      </c>
      <c r="AG35" s="216">
        <f t="shared" si="76"/>
        <v>3.8115611331435151E-4</v>
      </c>
      <c r="AH35" s="216">
        <f t="shared" si="77"/>
        <v>-3.7404974950749903E-18</v>
      </c>
      <c r="AI35" s="218"/>
      <c r="AJ35" s="215">
        <f t="shared" ca="1" si="68"/>
        <v>5.3336244942108065E-4</v>
      </c>
      <c r="AK35" s="215"/>
      <c r="AL35" s="215"/>
      <c r="AM35" s="215"/>
      <c r="AN35" s="215"/>
      <c r="AO35" s="215"/>
      <c r="AP35" s="215" t="str">
        <f t="shared" ca="1" si="69"/>
        <v>#22: Opg33: Internal roads</v>
      </c>
      <c r="AQ35" s="215"/>
      <c r="AR35" s="215"/>
      <c r="AS35" s="215">
        <f t="shared" ca="1" si="70"/>
        <v>0.20833333333333334</v>
      </c>
      <c r="AT35" s="215">
        <f t="shared" ca="1" si="71"/>
        <v>1.6666666666666667</v>
      </c>
      <c r="AU35" s="215">
        <f t="shared" ca="1" si="72"/>
        <v>1.0416666666666667</v>
      </c>
      <c r="AV35" s="215"/>
      <c r="AW35" s="215"/>
      <c r="AX35" s="215"/>
      <c r="AY35" s="215"/>
      <c r="AZ35" s="225"/>
    </row>
    <row r="36" spans="1:52" ht="15.45">
      <c r="A36" s="88">
        <v>23</v>
      </c>
      <c r="B36" s="88">
        <v>1</v>
      </c>
      <c r="C36" s="44" t="s">
        <v>200</v>
      </c>
      <c r="D36" s="387">
        <f>+E36*60%</f>
        <v>0.78899999999999992</v>
      </c>
      <c r="E36" s="387">
        <f>0.5%*SUM(H$27:H$33)</f>
        <v>1.3149999999999999</v>
      </c>
      <c r="F36" s="387">
        <f>+E36*150%</f>
        <v>1.9724999999999999</v>
      </c>
      <c r="H36" s="327">
        <f t="shared" si="50"/>
        <v>1.3412999999999999</v>
      </c>
      <c r="I36" s="69">
        <f t="shared" si="51"/>
        <v>0.23669999999999999</v>
      </c>
      <c r="J36" s="197">
        <v>1</v>
      </c>
      <c r="K36" s="69">
        <f t="shared" si="52"/>
        <v>5.6026889999999996E-2</v>
      </c>
      <c r="L36" s="86">
        <f t="shared" si="78"/>
        <v>1.5246244532574209E-5</v>
      </c>
      <c r="M36" s="68"/>
      <c r="N36" s="44" t="s">
        <v>187</v>
      </c>
      <c r="O36" s="384">
        <f t="shared" si="54"/>
        <v>9.9999999999999964E-2</v>
      </c>
      <c r="Q36" s="213">
        <v>1</v>
      </c>
      <c r="R36" s="213">
        <f t="shared" ca="1" si="55"/>
        <v>23</v>
      </c>
      <c r="S36" s="213">
        <f t="shared" ca="1" si="56"/>
        <v>11</v>
      </c>
      <c r="T36" s="242">
        <f t="shared" ca="1" si="57"/>
        <v>1.7546244532574207E-5</v>
      </c>
      <c r="U36" s="213">
        <f t="shared" ca="1" si="58"/>
        <v>31</v>
      </c>
      <c r="V36" s="215">
        <f t="shared" si="59"/>
        <v>1.5246244532574209E-5</v>
      </c>
      <c r="W36" s="216">
        <f t="shared" si="60"/>
        <v>0.58823529411764708</v>
      </c>
      <c r="X36" s="216">
        <f t="shared" si="61"/>
        <v>0.98039215686274506</v>
      </c>
      <c r="Y36" s="216">
        <f t="shared" si="62"/>
        <v>1.4705882352941178</v>
      </c>
      <c r="Z36" s="217">
        <f t="shared" si="63"/>
        <v>1.0327149552492128</v>
      </c>
      <c r="AA36" s="218" t="str">
        <f t="shared" si="64"/>
        <v>Opg23: Construction management</v>
      </c>
      <c r="AB36" s="218"/>
      <c r="AC36" s="218"/>
      <c r="AD36" s="218">
        <f t="shared" si="65"/>
        <v>0.99999237687773368</v>
      </c>
      <c r="AE36" s="215">
        <v>1</v>
      </c>
      <c r="AF36" s="218">
        <f t="shared" si="66"/>
        <v>1.0000076231222663</v>
      </c>
      <c r="AG36" s="216">
        <f t="shared" si="76"/>
        <v>1.5246244532640674E-5</v>
      </c>
      <c r="AH36" s="216">
        <f t="shared" si="77"/>
        <v>6.6464981305150439E-17</v>
      </c>
      <c r="AI36" s="218"/>
      <c r="AJ36" s="215">
        <f t="shared" ca="1" si="68"/>
        <v>5.3336244942108065E-4</v>
      </c>
      <c r="AK36" s="215"/>
      <c r="AL36" s="215"/>
      <c r="AM36" s="215"/>
      <c r="AN36" s="215"/>
      <c r="AO36" s="215"/>
      <c r="AP36" s="215" t="str">
        <f t="shared" ca="1" si="69"/>
        <v>#23: Opg17: Landscape</v>
      </c>
      <c r="AQ36" s="215"/>
      <c r="AR36" s="215"/>
      <c r="AS36" s="215">
        <f t="shared" ca="1" si="70"/>
        <v>0.67796610169491522</v>
      </c>
      <c r="AT36" s="215">
        <f t="shared" ca="1" si="71"/>
        <v>1.271186440677966</v>
      </c>
      <c r="AU36" s="215">
        <f t="shared" ca="1" si="72"/>
        <v>1.0169491525423728</v>
      </c>
      <c r="AV36" s="215"/>
      <c r="AW36" s="215"/>
      <c r="AX36" s="215"/>
      <c r="AY36" s="215"/>
      <c r="AZ36" s="225"/>
    </row>
    <row r="37" spans="1:52" ht="15.45">
      <c r="A37" s="88">
        <v>24</v>
      </c>
      <c r="B37" s="88">
        <v>1</v>
      </c>
      <c r="C37" s="44" t="s">
        <v>201</v>
      </c>
      <c r="D37" s="387">
        <f>+E37*60%</f>
        <v>0.78899999999999992</v>
      </c>
      <c r="E37" s="387">
        <f>0.5%*SUM(H$27:H$33)</f>
        <v>1.3149999999999999</v>
      </c>
      <c r="F37" s="387">
        <f>+E37*150%</f>
        <v>1.9724999999999999</v>
      </c>
      <c r="H37" s="327">
        <f t="shared" si="50"/>
        <v>1.3412999999999999</v>
      </c>
      <c r="I37" s="69">
        <f t="shared" si="51"/>
        <v>0.23669999999999999</v>
      </c>
      <c r="J37" s="197">
        <v>1</v>
      </c>
      <c r="K37" s="69">
        <f t="shared" si="52"/>
        <v>5.6026889999999996E-2</v>
      </c>
      <c r="L37" s="86">
        <f t="shared" si="78"/>
        <v>1.5246244532574209E-5</v>
      </c>
      <c r="M37" s="68"/>
      <c r="N37" s="44" t="s">
        <v>187</v>
      </c>
      <c r="O37" s="384">
        <f t="shared" si="54"/>
        <v>9.9999999999999964E-2</v>
      </c>
      <c r="Q37" s="213">
        <v>1</v>
      </c>
      <c r="R37" s="213">
        <f t="shared" ca="1" si="55"/>
        <v>24</v>
      </c>
      <c r="S37" s="213">
        <f t="shared" ca="1" si="56"/>
        <v>12</v>
      </c>
      <c r="T37" s="242">
        <f t="shared" ca="1" si="57"/>
        <v>1.7646244532574209E-5</v>
      </c>
      <c r="U37" s="213">
        <f t="shared" ca="1" si="58"/>
        <v>30</v>
      </c>
      <c r="V37" s="215">
        <f t="shared" si="59"/>
        <v>1.5246244532574209E-5</v>
      </c>
      <c r="W37" s="216">
        <f t="shared" si="60"/>
        <v>0.58823529411764708</v>
      </c>
      <c r="X37" s="216">
        <f t="shared" si="61"/>
        <v>0.98039215686274506</v>
      </c>
      <c r="Y37" s="216">
        <f t="shared" si="62"/>
        <v>1.4705882352941178</v>
      </c>
      <c r="Z37" s="217">
        <f t="shared" si="63"/>
        <v>1.0327149552492128</v>
      </c>
      <c r="AA37" s="218" t="str">
        <f t="shared" si="64"/>
        <v>Opg24: Supervision</v>
      </c>
      <c r="AB37" s="218"/>
      <c r="AC37" s="218"/>
      <c r="AD37" s="218">
        <f t="shared" si="65"/>
        <v>0.99999237687773368</v>
      </c>
      <c r="AE37" s="215">
        <v>1</v>
      </c>
      <c r="AF37" s="218">
        <f t="shared" si="66"/>
        <v>1.0000076231222663</v>
      </c>
      <c r="AG37" s="216">
        <f t="shared" si="76"/>
        <v>1.5246244532640674E-5</v>
      </c>
      <c r="AH37" s="216">
        <f t="shared" si="77"/>
        <v>6.6464981305150439E-17</v>
      </c>
      <c r="AI37" s="218"/>
      <c r="AJ37" s="215">
        <f t="shared" ca="1" si="68"/>
        <v>3.8115611331435525E-4</v>
      </c>
      <c r="AK37" s="215"/>
      <c r="AL37" s="215"/>
      <c r="AM37" s="215"/>
      <c r="AN37" s="215"/>
      <c r="AO37" s="215"/>
      <c r="AP37" s="215" t="str">
        <f t="shared" ca="1" si="69"/>
        <v>#24: Opg22: Counselling</v>
      </c>
      <c r="AQ37" s="215"/>
      <c r="AR37" s="215"/>
      <c r="AS37" s="215">
        <f t="shared" ca="1" si="70"/>
        <v>0.58823529411764708</v>
      </c>
      <c r="AT37" s="215">
        <f t="shared" ca="1" si="71"/>
        <v>1.4705882352941178</v>
      </c>
      <c r="AU37" s="215">
        <f t="shared" ca="1" si="72"/>
        <v>0.98039215686274506</v>
      </c>
      <c r="AV37" s="215"/>
      <c r="AW37" s="215"/>
      <c r="AX37" s="215"/>
      <c r="AY37" s="215"/>
      <c r="AZ37" s="225"/>
    </row>
    <row r="38" spans="1:52" ht="15.45">
      <c r="A38" s="88">
        <v>31</v>
      </c>
      <c r="B38" s="88">
        <v>1</v>
      </c>
      <c r="C38" s="44" t="s">
        <v>202</v>
      </c>
      <c r="D38" s="257">
        <v>10</v>
      </c>
      <c r="E38" s="257">
        <v>15</v>
      </c>
      <c r="F38" s="257">
        <v>35</v>
      </c>
      <c r="G38" s="386">
        <f>+SUM(H38:H45)/Mean_Tasks</f>
        <v>0.10512413587121343</v>
      </c>
      <c r="H38" s="327">
        <f t="shared" si="50"/>
        <v>18</v>
      </c>
      <c r="I38" s="69">
        <f t="shared" si="51"/>
        <v>5</v>
      </c>
      <c r="J38" s="197">
        <v>1</v>
      </c>
      <c r="K38" s="69">
        <f t="shared" si="52"/>
        <v>25</v>
      </c>
      <c r="L38" s="86">
        <f t="shared" si="78"/>
        <v>6.8030924671056208E-3</v>
      </c>
      <c r="M38" s="68"/>
      <c r="N38" s="44"/>
      <c r="O38" s="384">
        <f t="shared" si="54"/>
        <v>1</v>
      </c>
      <c r="Q38" s="213">
        <v>1</v>
      </c>
      <c r="R38" s="213">
        <f t="shared" ca="1" si="55"/>
        <v>25</v>
      </c>
      <c r="S38" s="213">
        <f t="shared" ca="1" si="56"/>
        <v>13</v>
      </c>
      <c r="T38" s="242">
        <f t="shared" ca="1" si="57"/>
        <v>6.8055924671056207E-3</v>
      </c>
      <c r="U38" s="213">
        <f t="shared" ca="1" si="58"/>
        <v>16</v>
      </c>
      <c r="V38" s="215">
        <f t="shared" si="59"/>
        <v>6.8030924671056208E-3</v>
      </c>
      <c r="W38" s="216">
        <f t="shared" si="60"/>
        <v>0.55555555555555558</v>
      </c>
      <c r="X38" s="216">
        <f t="shared" si="61"/>
        <v>0.83333333333333337</v>
      </c>
      <c r="Y38" s="216">
        <f t="shared" si="62"/>
        <v>1.9444444444444444</v>
      </c>
      <c r="Z38" s="217">
        <f t="shared" si="63"/>
        <v>1.0327149552492128</v>
      </c>
      <c r="AA38" s="218" t="str">
        <f t="shared" si="64"/>
        <v>Opg31: Land purchase</v>
      </c>
      <c r="AB38" s="218"/>
      <c r="AC38" s="218"/>
      <c r="AD38" s="218">
        <f t="shared" si="65"/>
        <v>0.99659845376644718</v>
      </c>
      <c r="AE38" s="215">
        <v>1</v>
      </c>
      <c r="AF38" s="218">
        <f t="shared" si="66"/>
        <v>1.0034015462335528</v>
      </c>
      <c r="AG38" s="216">
        <f t="shared" si="76"/>
        <v>6.8030924671056425E-3</v>
      </c>
      <c r="AH38" s="216">
        <f t="shared" si="77"/>
        <v>2.1684043449710089E-17</v>
      </c>
      <c r="AI38" s="218"/>
      <c r="AJ38" s="215">
        <f t="shared" ca="1" si="68"/>
        <v>3.8115611331435509E-4</v>
      </c>
      <c r="AK38" s="215"/>
      <c r="AL38" s="215"/>
      <c r="AM38" s="215"/>
      <c r="AN38" s="215"/>
      <c r="AO38" s="215"/>
      <c r="AP38" s="215" t="str">
        <f t="shared" ca="1" si="69"/>
        <v>#25: Opg21: Projecting</v>
      </c>
      <c r="AQ38" s="215"/>
      <c r="AR38" s="215"/>
      <c r="AS38" s="215">
        <f t="shared" ca="1" si="70"/>
        <v>0.79207920792079223</v>
      </c>
      <c r="AT38" s="215">
        <f t="shared" ca="1" si="71"/>
        <v>1.2376237623762376</v>
      </c>
      <c r="AU38" s="215">
        <f t="shared" ca="1" si="72"/>
        <v>0.9900990099009902</v>
      </c>
      <c r="AV38" s="215"/>
      <c r="AW38" s="215"/>
      <c r="AX38" s="215"/>
      <c r="AY38" s="215"/>
      <c r="AZ38" s="225"/>
    </row>
    <row r="39" spans="1:52" ht="15.45">
      <c r="A39" s="88">
        <v>32</v>
      </c>
      <c r="B39" s="88">
        <v>1</v>
      </c>
      <c r="C39" s="44" t="s">
        <v>203</v>
      </c>
      <c r="D39" s="257">
        <v>1</v>
      </c>
      <c r="E39" s="257">
        <v>2</v>
      </c>
      <c r="F39" s="257">
        <v>3</v>
      </c>
      <c r="H39" s="327">
        <f t="shared" si="50"/>
        <v>2</v>
      </c>
      <c r="I39" s="69">
        <f t="shared" si="51"/>
        <v>0.4</v>
      </c>
      <c r="J39" s="197">
        <v>1</v>
      </c>
      <c r="K39" s="69">
        <f t="shared" si="52"/>
        <v>0.16000000000000003</v>
      </c>
      <c r="L39" s="86">
        <f t="shared" si="78"/>
        <v>4.3539791789475983E-5</v>
      </c>
      <c r="M39" s="68"/>
      <c r="N39" s="44"/>
      <c r="O39" s="384">
        <f t="shared" si="54"/>
        <v>0</v>
      </c>
      <c r="Q39" s="213">
        <v>1</v>
      </c>
      <c r="R39" s="213">
        <f t="shared" ca="1" si="55"/>
        <v>26</v>
      </c>
      <c r="S39" s="213">
        <f t="shared" ca="1" si="56"/>
        <v>14</v>
      </c>
      <c r="T39" s="242">
        <f t="shared" ca="1" si="57"/>
        <v>4.6139791789475985E-5</v>
      </c>
      <c r="U39" s="213">
        <f t="shared" ca="1" si="58"/>
        <v>28</v>
      </c>
      <c r="V39" s="215">
        <f t="shared" si="59"/>
        <v>4.3539791789475983E-5</v>
      </c>
      <c r="W39" s="216">
        <f t="shared" si="60"/>
        <v>0.5</v>
      </c>
      <c r="X39" s="216">
        <f t="shared" si="61"/>
        <v>1</v>
      </c>
      <c r="Y39" s="216">
        <f t="shared" si="62"/>
        <v>1.5</v>
      </c>
      <c r="Z39" s="217">
        <f t="shared" si="63"/>
        <v>1.0327149552492128</v>
      </c>
      <c r="AA39" s="218" t="str">
        <f t="shared" si="64"/>
        <v>Opg32: Geotechnical investigation</v>
      </c>
      <c r="AB39" s="218"/>
      <c r="AC39" s="218"/>
      <c r="AD39" s="218">
        <f t="shared" si="65"/>
        <v>0.99997823010410525</v>
      </c>
      <c r="AE39" s="215">
        <v>1</v>
      </c>
      <c r="AF39" s="218">
        <f t="shared" si="66"/>
        <v>1.0000217698958946</v>
      </c>
      <c r="AG39" s="216">
        <f t="shared" si="76"/>
        <v>4.3539791789393156E-5</v>
      </c>
      <c r="AH39" s="216">
        <f t="shared" si="77"/>
        <v>-8.2826269714314504E-17</v>
      </c>
      <c r="AI39" s="218"/>
      <c r="AJ39" s="215">
        <f t="shared" ca="1" si="68"/>
        <v>2.1187551179553744E-4</v>
      </c>
      <c r="AK39" s="215"/>
      <c r="AL39" s="215"/>
      <c r="AM39" s="215"/>
      <c r="AN39" s="215"/>
      <c r="AO39" s="215"/>
      <c r="AP39" s="215" t="str">
        <f t="shared" ca="1" si="69"/>
        <v>#26: Opg97: Unk Unks Group 1</v>
      </c>
      <c r="AQ39" s="215"/>
      <c r="AR39" s="215"/>
      <c r="AS39" s="215">
        <f t="shared" ca="1" si="70"/>
        <v>0.12807990440886244</v>
      </c>
      <c r="AT39" s="215">
        <f t="shared" ca="1" si="71"/>
        <v>1.8719200955911375</v>
      </c>
      <c r="AU39" s="215">
        <f t="shared" ca="1" si="72"/>
        <v>1</v>
      </c>
      <c r="AV39" s="215"/>
      <c r="AW39" s="215"/>
      <c r="AX39" s="215"/>
      <c r="AY39" s="215"/>
      <c r="AZ39" s="225"/>
    </row>
    <row r="40" spans="1:52" ht="15.45">
      <c r="A40" s="88">
        <v>33</v>
      </c>
      <c r="B40" s="88">
        <v>1</v>
      </c>
      <c r="C40" s="44" t="s">
        <v>204</v>
      </c>
      <c r="D40" s="257">
        <v>1</v>
      </c>
      <c r="E40" s="257">
        <v>5</v>
      </c>
      <c r="F40" s="257">
        <v>8</v>
      </c>
      <c r="H40" s="327">
        <f t="shared" ref="H40:H46" si="79">+$B40*(D40+FaktorA*E40+F40)/DivisorA</f>
        <v>4.8</v>
      </c>
      <c r="I40" s="69">
        <f t="shared" ref="I40:I46" si="80">+$B40*(F40-D40)/DivisorB</f>
        <v>1.4</v>
      </c>
      <c r="J40" s="197">
        <v>1</v>
      </c>
      <c r="K40" s="69">
        <f t="shared" ref="K40:K46" si="81">+I40*I40*J40</f>
        <v>1.9599999999999997</v>
      </c>
      <c r="L40" s="86">
        <f t="shared" ref="L40:L46" si="82">+(IF(GrandTotal_Priority&lt;&gt;0,K40/GrandTotal_Priority,"0"))</f>
        <v>5.3336244942108065E-4</v>
      </c>
      <c r="M40" s="68"/>
      <c r="N40" s="44"/>
      <c r="O40" s="384">
        <f t="shared" ref="O40:O46" si="83">+(IFERROR(((F40-E40)-(E40-D40))/E40,0))</f>
        <v>-0.2</v>
      </c>
      <c r="Q40" s="213">
        <v>1</v>
      </c>
      <c r="R40" s="213">
        <f t="shared" ca="1" si="55"/>
        <v>27</v>
      </c>
      <c r="S40" s="213">
        <f t="shared" ca="1" si="56"/>
        <v>15</v>
      </c>
      <c r="T40" s="242">
        <f t="shared" ref="T40:T46" ca="1" si="84">+L40+R40*deltaId</f>
        <v>5.3606244942108066E-4</v>
      </c>
      <c r="U40" s="213">
        <f t="shared" ca="1" si="58"/>
        <v>22</v>
      </c>
      <c r="V40" s="215">
        <f t="shared" ref="V40:V46" si="85">+L40</f>
        <v>5.3336244942108065E-4</v>
      </c>
      <c r="W40" s="216">
        <f t="shared" ref="W40:W46" si="86">+IFERROR(D40/$H40,0)</f>
        <v>0.20833333333333334</v>
      </c>
      <c r="X40" s="216">
        <f t="shared" ref="X40:X46" si="87">+IFERROR(E40/$H40,0)</f>
        <v>1.0416666666666667</v>
      </c>
      <c r="Y40" s="216">
        <f t="shared" ref="Y40:Y46" si="88">+IFERROR(F40/$H40,0)</f>
        <v>1.6666666666666667</v>
      </c>
      <c r="Z40" s="217">
        <f t="shared" si="63"/>
        <v>1.0327149552492128</v>
      </c>
      <c r="AA40" s="218" t="str">
        <f t="shared" ref="AA40:AA46" si="89">+CONCATENATE("Opg",A40,": ",$C40)</f>
        <v>Opg33: Internal roads</v>
      </c>
      <c r="AB40" s="218"/>
      <c r="AC40" s="218"/>
      <c r="AD40" s="218">
        <f t="shared" si="65"/>
        <v>0.99973331877528948</v>
      </c>
      <c r="AE40" s="215">
        <v>1</v>
      </c>
      <c r="AF40" s="218">
        <f t="shared" si="66"/>
        <v>1.0002666812247105</v>
      </c>
      <c r="AG40" s="216">
        <f t="shared" ref="AG40:AG46" si="90">+AF40-AD40</f>
        <v>5.3336244942103761E-4</v>
      </c>
      <c r="AH40" s="216">
        <f t="shared" ref="AH40:AH46" si="91">+AG40-L40</f>
        <v>-4.3042826247674526E-17</v>
      </c>
      <c r="AI40" s="218"/>
      <c r="AJ40" s="215">
        <f t="shared" ca="1" si="68"/>
        <v>9.7964531526320935E-5</v>
      </c>
      <c r="AK40" s="215"/>
      <c r="AL40" s="215"/>
      <c r="AM40" s="215"/>
      <c r="AN40" s="215"/>
      <c r="AO40" s="215"/>
      <c r="AP40" s="215" t="str">
        <f t="shared" ca="1" si="69"/>
        <v>#27: Opg34: Terrain regulation</v>
      </c>
      <c r="AQ40" s="215"/>
      <c r="AR40" s="215"/>
      <c r="AS40" s="215">
        <f t="shared" ca="1" si="70"/>
        <v>0.45454545454545453</v>
      </c>
      <c r="AT40" s="215">
        <f t="shared" ca="1" si="71"/>
        <v>1.8181818181818181</v>
      </c>
      <c r="AU40" s="215">
        <f t="shared" ca="1" si="72"/>
        <v>0.90909090909090906</v>
      </c>
      <c r="AV40" s="215"/>
      <c r="AW40" s="215"/>
      <c r="AX40" s="215"/>
      <c r="AY40" s="215"/>
      <c r="AZ40" s="225"/>
    </row>
    <row r="41" spans="1:52" ht="15.45">
      <c r="A41" s="88">
        <v>34</v>
      </c>
      <c r="B41" s="88">
        <v>1</v>
      </c>
      <c r="C41" s="44" t="s">
        <v>205</v>
      </c>
      <c r="D41" s="257">
        <v>1</v>
      </c>
      <c r="E41" s="257">
        <v>2</v>
      </c>
      <c r="F41" s="257">
        <v>4</v>
      </c>
      <c r="H41" s="327">
        <f t="shared" si="79"/>
        <v>2.2000000000000002</v>
      </c>
      <c r="I41" s="69">
        <f t="shared" si="80"/>
        <v>0.6</v>
      </c>
      <c r="J41" s="197">
        <v>1</v>
      </c>
      <c r="K41" s="69">
        <f t="shared" si="81"/>
        <v>0.36</v>
      </c>
      <c r="L41" s="86">
        <f t="shared" si="82"/>
        <v>9.7964531526320935E-5</v>
      </c>
      <c r="M41" s="68"/>
      <c r="N41" s="44"/>
      <c r="O41" s="384">
        <f t="shared" si="83"/>
        <v>0.5</v>
      </c>
      <c r="Q41" s="213">
        <v>1</v>
      </c>
      <c r="R41" s="213">
        <f t="shared" ca="1" si="55"/>
        <v>28</v>
      </c>
      <c r="S41" s="213">
        <f t="shared" ca="1" si="56"/>
        <v>16</v>
      </c>
      <c r="T41" s="242">
        <f t="shared" ca="1" si="84"/>
        <v>1.0076453152632094E-4</v>
      </c>
      <c r="U41" s="213">
        <f t="shared" ca="1" si="58"/>
        <v>27</v>
      </c>
      <c r="V41" s="215">
        <f t="shared" si="85"/>
        <v>9.7964531526320935E-5</v>
      </c>
      <c r="W41" s="216">
        <f t="shared" si="86"/>
        <v>0.45454545454545453</v>
      </c>
      <c r="X41" s="216">
        <f t="shared" si="87"/>
        <v>0.90909090909090906</v>
      </c>
      <c r="Y41" s="216">
        <f t="shared" si="88"/>
        <v>1.8181818181818181</v>
      </c>
      <c r="Z41" s="217">
        <f t="shared" si="63"/>
        <v>1.0327149552492128</v>
      </c>
      <c r="AA41" s="218" t="str">
        <f t="shared" si="89"/>
        <v>Opg34: Terrain regulation</v>
      </c>
      <c r="AB41" s="218"/>
      <c r="AC41" s="218"/>
      <c r="AD41" s="218">
        <f t="shared" si="65"/>
        <v>0.99995101773423689</v>
      </c>
      <c r="AE41" s="215">
        <v>1</v>
      </c>
      <c r="AF41" s="218">
        <f t="shared" si="66"/>
        <v>1.0000489822657632</v>
      </c>
      <c r="AG41" s="216">
        <f t="shared" si="90"/>
        <v>9.7964531526328891E-5</v>
      </c>
      <c r="AH41" s="216">
        <f t="shared" si="91"/>
        <v>7.9553334406123888E-18</v>
      </c>
      <c r="AI41" s="218"/>
      <c r="AJ41" s="215">
        <f t="shared" ca="1" si="68"/>
        <v>4.3539791789475983E-5</v>
      </c>
      <c r="AK41" s="215"/>
      <c r="AL41" s="215"/>
      <c r="AM41" s="215"/>
      <c r="AN41" s="215"/>
      <c r="AO41" s="215"/>
      <c r="AP41" s="215" t="str">
        <f t="shared" ca="1" si="69"/>
        <v>#28: Opg32: Geotechnical investigation</v>
      </c>
      <c r="AQ41" s="215"/>
      <c r="AR41" s="215"/>
      <c r="AS41" s="215">
        <f t="shared" ca="1" si="70"/>
        <v>0.5</v>
      </c>
      <c r="AT41" s="215">
        <f t="shared" ca="1" si="71"/>
        <v>1.5</v>
      </c>
      <c r="AU41" s="215">
        <f t="shared" ca="1" si="72"/>
        <v>1</v>
      </c>
      <c r="AV41" s="215"/>
      <c r="AW41" s="215"/>
      <c r="AX41" s="215"/>
      <c r="AY41" s="215"/>
      <c r="AZ41" s="225"/>
    </row>
    <row r="42" spans="1:52" ht="15.45">
      <c r="A42" s="88">
        <v>35</v>
      </c>
      <c r="B42" s="88">
        <v>1</v>
      </c>
      <c r="C42" s="44" t="s">
        <v>206</v>
      </c>
      <c r="D42" s="257">
        <v>1.5</v>
      </c>
      <c r="E42" s="257">
        <v>2</v>
      </c>
      <c r="F42" s="257">
        <v>3</v>
      </c>
      <c r="H42" s="327">
        <f t="shared" si="79"/>
        <v>2.1</v>
      </c>
      <c r="I42" s="69">
        <f t="shared" si="80"/>
        <v>0.3</v>
      </c>
      <c r="J42" s="197">
        <v>1</v>
      </c>
      <c r="K42" s="69">
        <f t="shared" si="81"/>
        <v>0.09</v>
      </c>
      <c r="L42" s="86">
        <f t="shared" si="82"/>
        <v>2.4491132881580234E-5</v>
      </c>
      <c r="M42" s="68"/>
      <c r="N42" s="44"/>
      <c r="O42" s="384">
        <f t="shared" si="83"/>
        <v>0.25</v>
      </c>
      <c r="Q42" s="213">
        <v>1</v>
      </c>
      <c r="R42" s="213">
        <f t="shared" ca="1" si="55"/>
        <v>29</v>
      </c>
      <c r="S42" s="213">
        <f t="shared" ca="1" si="56"/>
        <v>17</v>
      </c>
      <c r="T42" s="242">
        <f t="shared" ca="1" si="84"/>
        <v>2.7391132881580233E-5</v>
      </c>
      <c r="U42" s="213">
        <f t="shared" ca="1" si="58"/>
        <v>29</v>
      </c>
      <c r="V42" s="215">
        <f t="shared" si="85"/>
        <v>2.4491132881580234E-5</v>
      </c>
      <c r="W42" s="216">
        <f t="shared" si="86"/>
        <v>0.7142857142857143</v>
      </c>
      <c r="X42" s="216">
        <f t="shared" si="87"/>
        <v>0.95238095238095233</v>
      </c>
      <c r="Y42" s="216">
        <f t="shared" si="88"/>
        <v>1.4285714285714286</v>
      </c>
      <c r="Z42" s="217">
        <f t="shared" si="63"/>
        <v>1.0327149552492128</v>
      </c>
      <c r="AA42" s="218" t="str">
        <f t="shared" si="89"/>
        <v>Opg35: Securing the outer rim</v>
      </c>
      <c r="AB42" s="218"/>
      <c r="AC42" s="218"/>
      <c r="AD42" s="218">
        <f t="shared" si="65"/>
        <v>0.99998775443355925</v>
      </c>
      <c r="AE42" s="215">
        <v>1</v>
      </c>
      <c r="AF42" s="218">
        <f t="shared" si="66"/>
        <v>1.0000122455664409</v>
      </c>
      <c r="AG42" s="216">
        <f t="shared" si="90"/>
        <v>2.4491132881609978E-5</v>
      </c>
      <c r="AH42" s="216">
        <f t="shared" si="91"/>
        <v>2.9744408975782011E-17</v>
      </c>
      <c r="AI42" s="218"/>
      <c r="AJ42" s="215">
        <f t="shared" ca="1" si="68"/>
        <v>2.4491132881580234E-5</v>
      </c>
      <c r="AK42" s="215"/>
      <c r="AL42" s="215"/>
      <c r="AM42" s="215"/>
      <c r="AN42" s="215"/>
      <c r="AO42" s="215"/>
      <c r="AP42" s="215" t="str">
        <f t="shared" ca="1" si="69"/>
        <v>#29: Opg35: Securing the outer rim</v>
      </c>
      <c r="AQ42" s="215"/>
      <c r="AR42" s="215"/>
      <c r="AS42" s="215">
        <f t="shared" ca="1" si="70"/>
        <v>0.7142857142857143</v>
      </c>
      <c r="AT42" s="215">
        <f t="shared" ca="1" si="71"/>
        <v>1.4285714285714286</v>
      </c>
      <c r="AU42" s="215">
        <f t="shared" ca="1" si="72"/>
        <v>0.95238095238095233</v>
      </c>
      <c r="AV42" s="215"/>
      <c r="AW42" s="215"/>
      <c r="AX42" s="215"/>
      <c r="AY42" s="215"/>
      <c r="AZ42" s="225"/>
    </row>
    <row r="43" spans="1:52" ht="15.45">
      <c r="A43" s="88">
        <v>36</v>
      </c>
      <c r="B43" s="88">
        <v>1</v>
      </c>
      <c r="C43" s="44" t="s">
        <v>207</v>
      </c>
      <c r="D43" s="257">
        <v>0.9</v>
      </c>
      <c r="E43" s="257">
        <v>1</v>
      </c>
      <c r="F43" s="257">
        <v>1.5</v>
      </c>
      <c r="H43" s="327">
        <f t="shared" si="79"/>
        <v>1.08</v>
      </c>
      <c r="I43" s="69">
        <f t="shared" si="80"/>
        <v>0.12</v>
      </c>
      <c r="J43" s="197">
        <v>1</v>
      </c>
      <c r="K43" s="69">
        <f t="shared" si="81"/>
        <v>1.44E-2</v>
      </c>
      <c r="L43" s="86">
        <f t="shared" si="82"/>
        <v>3.9185812610528377E-6</v>
      </c>
      <c r="M43" s="68"/>
      <c r="N43" s="44"/>
      <c r="O43" s="384">
        <f t="shared" si="83"/>
        <v>0.4</v>
      </c>
      <c r="Q43" s="213">
        <v>1</v>
      </c>
      <c r="R43" s="213">
        <f t="shared" ca="1" si="55"/>
        <v>30</v>
      </c>
      <c r="S43" s="213">
        <f t="shared" ca="1" si="56"/>
        <v>18</v>
      </c>
      <c r="T43" s="242">
        <f t="shared" ca="1" si="84"/>
        <v>6.9185812610528377E-6</v>
      </c>
      <c r="U43" s="213">
        <f t="shared" ca="1" si="58"/>
        <v>33</v>
      </c>
      <c r="V43" s="215">
        <f t="shared" si="85"/>
        <v>3.9185812610528377E-6</v>
      </c>
      <c r="W43" s="216">
        <f t="shared" si="86"/>
        <v>0.83333333333333326</v>
      </c>
      <c r="X43" s="216">
        <f t="shared" si="87"/>
        <v>0.92592592592592582</v>
      </c>
      <c r="Y43" s="216">
        <f t="shared" si="88"/>
        <v>1.3888888888888888</v>
      </c>
      <c r="Z43" s="217">
        <f t="shared" si="63"/>
        <v>1.0327149552492128</v>
      </c>
      <c r="AA43" s="218" t="str">
        <f t="shared" si="89"/>
        <v>Opg36: Building permit</v>
      </c>
      <c r="AB43" s="218"/>
      <c r="AC43" s="218"/>
      <c r="AD43" s="218">
        <f t="shared" si="65"/>
        <v>0.99999804070936948</v>
      </c>
      <c r="AE43" s="215">
        <v>1</v>
      </c>
      <c r="AF43" s="218">
        <f t="shared" si="66"/>
        <v>1.0000019592906306</v>
      </c>
      <c r="AG43" s="216">
        <f t="shared" si="90"/>
        <v>3.9185812611419735E-6</v>
      </c>
      <c r="AH43" s="216">
        <f t="shared" si="91"/>
        <v>8.9135818138411788E-17</v>
      </c>
      <c r="AI43" s="218"/>
      <c r="AJ43" s="215">
        <f t="shared" ca="1" si="68"/>
        <v>1.5246244532574209E-5</v>
      </c>
      <c r="AK43" s="215"/>
      <c r="AL43" s="215"/>
      <c r="AM43" s="215"/>
      <c r="AN43" s="215"/>
      <c r="AO43" s="215"/>
      <c r="AP43" s="215" t="str">
        <f t="shared" ca="1" si="69"/>
        <v>#30: Opg24: Supervision</v>
      </c>
      <c r="AQ43" s="215"/>
      <c r="AR43" s="215"/>
      <c r="AS43" s="215">
        <f t="shared" ca="1" si="70"/>
        <v>0.58823529411764708</v>
      </c>
      <c r="AT43" s="215">
        <f t="shared" ca="1" si="71"/>
        <v>1.4705882352941178</v>
      </c>
      <c r="AU43" s="215">
        <f t="shared" ca="1" si="72"/>
        <v>0.98039215686274506</v>
      </c>
      <c r="AV43" s="215"/>
      <c r="AW43" s="215"/>
      <c r="AX43" s="215"/>
      <c r="AY43" s="215"/>
      <c r="AZ43" s="225"/>
    </row>
    <row r="44" spans="1:52" ht="15.45">
      <c r="A44" s="88">
        <v>37</v>
      </c>
      <c r="B44" s="88">
        <v>1</v>
      </c>
      <c r="C44" s="44" t="s">
        <v>192</v>
      </c>
      <c r="D44" s="257">
        <v>0.5</v>
      </c>
      <c r="E44" s="257">
        <v>1</v>
      </c>
      <c r="F44" s="257">
        <v>1.5</v>
      </c>
      <c r="H44" s="327">
        <f t="shared" si="79"/>
        <v>1</v>
      </c>
      <c r="I44" s="69">
        <f t="shared" si="80"/>
        <v>0.2</v>
      </c>
      <c r="J44" s="197">
        <v>1</v>
      </c>
      <c r="K44" s="69">
        <f t="shared" si="81"/>
        <v>4.0000000000000008E-2</v>
      </c>
      <c r="L44" s="86">
        <f t="shared" si="82"/>
        <v>1.0884947947368996E-5</v>
      </c>
      <c r="M44" s="68"/>
      <c r="N44" s="44"/>
      <c r="O44" s="384">
        <f t="shared" si="83"/>
        <v>0</v>
      </c>
      <c r="Q44" s="213">
        <v>1</v>
      </c>
      <c r="R44" s="213">
        <f t="shared" ca="1" si="55"/>
        <v>31</v>
      </c>
      <c r="S44" s="213">
        <f t="shared" ca="1" si="56"/>
        <v>19</v>
      </c>
      <c r="T44" s="242">
        <f t="shared" ca="1" si="84"/>
        <v>1.3984947947368995E-5</v>
      </c>
      <c r="U44" s="213">
        <f t="shared" ca="1" si="58"/>
        <v>32</v>
      </c>
      <c r="V44" s="215">
        <f t="shared" si="85"/>
        <v>1.0884947947368996E-5</v>
      </c>
      <c r="W44" s="216">
        <f t="shared" si="86"/>
        <v>0.5</v>
      </c>
      <c r="X44" s="216">
        <f t="shared" si="87"/>
        <v>1</v>
      </c>
      <c r="Y44" s="216">
        <f t="shared" si="88"/>
        <v>1.5</v>
      </c>
      <c r="Z44" s="217">
        <f t="shared" si="63"/>
        <v>1.0327149552492128</v>
      </c>
      <c r="AA44" s="218" t="str">
        <f t="shared" si="89"/>
        <v>Opg37: Insurances</v>
      </c>
      <c r="AB44" s="218"/>
      <c r="AC44" s="218"/>
      <c r="AD44" s="218">
        <f t="shared" si="65"/>
        <v>0.99999455752602628</v>
      </c>
      <c r="AE44" s="215">
        <v>1</v>
      </c>
      <c r="AF44" s="218">
        <f t="shared" si="66"/>
        <v>1.0000054424739737</v>
      </c>
      <c r="AG44" s="216">
        <f t="shared" si="90"/>
        <v>1.0884947947431556E-5</v>
      </c>
      <c r="AH44" s="216">
        <f t="shared" si="91"/>
        <v>6.2560159418308114E-17</v>
      </c>
      <c r="AI44" s="218"/>
      <c r="AJ44" s="215">
        <f t="shared" ca="1" si="68"/>
        <v>1.5246244532574209E-5</v>
      </c>
      <c r="AK44" s="215"/>
      <c r="AL44" s="215"/>
      <c r="AM44" s="215"/>
      <c r="AN44" s="215"/>
      <c r="AO44" s="215"/>
      <c r="AP44" s="215" t="str">
        <f t="shared" ca="1" si="69"/>
        <v>#31: Opg23: Construction management</v>
      </c>
      <c r="AQ44" s="215"/>
      <c r="AR44" s="215"/>
      <c r="AS44" s="215">
        <f t="shared" ca="1" si="70"/>
        <v>0.58823529411764708</v>
      </c>
      <c r="AT44" s="215">
        <f t="shared" ca="1" si="71"/>
        <v>1.4705882352941178</v>
      </c>
      <c r="AU44" s="215">
        <f t="shared" ca="1" si="72"/>
        <v>0.98039215686274506</v>
      </c>
      <c r="AV44" s="215"/>
      <c r="AW44" s="215"/>
      <c r="AX44" s="215"/>
      <c r="AY44" s="215"/>
      <c r="AZ44" s="225"/>
    </row>
    <row r="45" spans="1:52" ht="15.45">
      <c r="A45" s="88">
        <v>38</v>
      </c>
      <c r="B45" s="88">
        <v>1</v>
      </c>
      <c r="C45" s="44" t="s">
        <v>191</v>
      </c>
      <c r="D45" s="387">
        <f>+E45*60%</f>
        <v>4.7527590000000002</v>
      </c>
      <c r="E45" s="387">
        <f>2.5%*SUM(H27:H44)</f>
        <v>7.921265</v>
      </c>
      <c r="F45" s="387">
        <f>+E45*150%</f>
        <v>11.881897500000001</v>
      </c>
      <c r="H45" s="327">
        <f t="shared" si="79"/>
        <v>8.0796903000000011</v>
      </c>
      <c r="I45" s="69">
        <f t="shared" si="80"/>
        <v>1.4258277000000001</v>
      </c>
      <c r="J45" s="197">
        <v>1</v>
      </c>
      <c r="K45" s="69">
        <f t="shared" si="81"/>
        <v>2.0329846300872902</v>
      </c>
      <c r="L45" s="86">
        <f t="shared" si="82"/>
        <v>5.5322329690753408E-4</v>
      </c>
      <c r="M45" s="68"/>
      <c r="N45" s="44" t="s">
        <v>188</v>
      </c>
      <c r="O45" s="384">
        <f t="shared" si="83"/>
        <v>0.10000000000000013</v>
      </c>
      <c r="Q45" s="213">
        <v>1</v>
      </c>
      <c r="R45" s="213">
        <f t="shared" ca="1" si="55"/>
        <v>32</v>
      </c>
      <c r="S45" s="213">
        <f t="shared" ca="1" si="56"/>
        <v>20</v>
      </c>
      <c r="T45" s="242">
        <f t="shared" ca="1" si="84"/>
        <v>5.5642329690753405E-4</v>
      </c>
      <c r="U45" s="213">
        <f t="shared" ca="1" si="58"/>
        <v>21</v>
      </c>
      <c r="V45" s="215">
        <f t="shared" si="85"/>
        <v>5.5322329690753408E-4</v>
      </c>
      <c r="W45" s="216">
        <f t="shared" si="86"/>
        <v>0.58823529411764697</v>
      </c>
      <c r="X45" s="216">
        <f t="shared" si="87"/>
        <v>0.98039215686274495</v>
      </c>
      <c r="Y45" s="216">
        <f t="shared" si="88"/>
        <v>1.4705882352941175</v>
      </c>
      <c r="Z45" s="217">
        <f t="shared" si="63"/>
        <v>1.0327149552492128</v>
      </c>
      <c r="AA45" s="218" t="str">
        <f t="shared" si="89"/>
        <v>Opg38: Financing</v>
      </c>
      <c r="AB45" s="218"/>
      <c r="AC45" s="218"/>
      <c r="AD45" s="218">
        <f t="shared" si="65"/>
        <v>0.99972338835154628</v>
      </c>
      <c r="AE45" s="215">
        <v>1</v>
      </c>
      <c r="AF45" s="218">
        <f t="shared" si="66"/>
        <v>1.0002766116484538</v>
      </c>
      <c r="AG45" s="216">
        <f t="shared" si="90"/>
        <v>5.5322329690754568E-4</v>
      </c>
      <c r="AH45" s="216">
        <f t="shared" si="91"/>
        <v>1.1600963245594897E-17</v>
      </c>
      <c r="AI45" s="218"/>
      <c r="AJ45" s="215">
        <f t="shared" ca="1" si="68"/>
        <v>1.0884947947368996E-5</v>
      </c>
      <c r="AK45" s="215"/>
      <c r="AL45" s="215"/>
      <c r="AM45" s="215"/>
      <c r="AN45" s="215"/>
      <c r="AO45" s="215"/>
      <c r="AP45" s="215" t="str">
        <f t="shared" ca="1" si="69"/>
        <v>#32: Opg37: Insurances</v>
      </c>
      <c r="AQ45" s="215"/>
      <c r="AR45" s="215"/>
      <c r="AS45" s="215">
        <f t="shared" ca="1" si="70"/>
        <v>0.5</v>
      </c>
      <c r="AT45" s="215">
        <f t="shared" ca="1" si="71"/>
        <v>1.5</v>
      </c>
      <c r="AU45" s="215">
        <f t="shared" ca="1" si="72"/>
        <v>1</v>
      </c>
      <c r="AV45" s="215"/>
      <c r="AW45" s="215"/>
      <c r="AX45" s="215"/>
      <c r="AY45" s="215"/>
      <c r="AZ45" s="225"/>
    </row>
    <row r="46" spans="1:52" ht="15.9" thickBot="1">
      <c r="A46" s="88">
        <v>40</v>
      </c>
      <c r="B46" s="88">
        <v>1</v>
      </c>
      <c r="C46" s="44" t="s">
        <v>190</v>
      </c>
      <c r="D46" s="257">
        <v>20</v>
      </c>
      <c r="E46" s="257">
        <v>45</v>
      </c>
      <c r="F46" s="257">
        <v>75</v>
      </c>
      <c r="G46" s="386">
        <f>+SUM(H46)/Mean_Tasks</f>
        <v>0.12317239930127052</v>
      </c>
      <c r="H46" s="327">
        <f t="shared" si="79"/>
        <v>46</v>
      </c>
      <c r="I46" s="69">
        <f t="shared" si="80"/>
        <v>11</v>
      </c>
      <c r="J46" s="197">
        <v>1</v>
      </c>
      <c r="K46" s="69">
        <f t="shared" si="81"/>
        <v>121</v>
      </c>
      <c r="L46" s="86">
        <f t="shared" si="82"/>
        <v>3.2926967540791205E-2</v>
      </c>
      <c r="M46" s="68"/>
      <c r="N46" s="44" t="s">
        <v>189</v>
      </c>
      <c r="O46" s="384">
        <f t="shared" si="83"/>
        <v>0.1111111111111111</v>
      </c>
      <c r="Q46" s="213">
        <v>1</v>
      </c>
      <c r="R46" s="213">
        <f t="shared" ca="1" si="55"/>
        <v>33</v>
      </c>
      <c r="S46" s="213">
        <f t="shared" ca="1" si="56"/>
        <v>21</v>
      </c>
      <c r="T46" s="242">
        <f t="shared" ca="1" si="84"/>
        <v>3.2930267540791203E-2</v>
      </c>
      <c r="U46" s="213">
        <f t="shared" ca="1" si="58"/>
        <v>9</v>
      </c>
      <c r="V46" s="215">
        <f t="shared" si="85"/>
        <v>3.2926967540791205E-2</v>
      </c>
      <c r="W46" s="216">
        <f t="shared" si="86"/>
        <v>0.43478260869565216</v>
      </c>
      <c r="X46" s="216">
        <f t="shared" si="87"/>
        <v>0.97826086956521741</v>
      </c>
      <c r="Y46" s="216">
        <f t="shared" si="88"/>
        <v>1.6304347826086956</v>
      </c>
      <c r="Z46" s="217">
        <f t="shared" si="63"/>
        <v>1.0327149552492128</v>
      </c>
      <c r="AA46" s="218" t="str">
        <f t="shared" si="89"/>
        <v>Opg40: Other</v>
      </c>
      <c r="AB46" s="218"/>
      <c r="AC46" s="218"/>
      <c r="AD46" s="218">
        <f t="shared" si="65"/>
        <v>0.98353651622960436</v>
      </c>
      <c r="AE46" s="215">
        <v>1</v>
      </c>
      <c r="AF46" s="218">
        <f t="shared" si="66"/>
        <v>1.0164634837703956</v>
      </c>
      <c r="AG46" s="216">
        <f t="shared" si="90"/>
        <v>3.2926967540791274E-2</v>
      </c>
      <c r="AH46" s="216">
        <f t="shared" si="91"/>
        <v>6.9388939039072284E-17</v>
      </c>
      <c r="AI46" s="218"/>
      <c r="AJ46" s="215">
        <f t="shared" ca="1" si="68"/>
        <v>3.9185812610528377E-6</v>
      </c>
      <c r="AK46" s="215"/>
      <c r="AL46" s="215"/>
      <c r="AM46" s="215"/>
      <c r="AN46" s="215"/>
      <c r="AO46" s="215"/>
      <c r="AP46" s="215" t="str">
        <f t="shared" ca="1" si="69"/>
        <v>#33: Opg36: Building permit</v>
      </c>
      <c r="AQ46" s="215"/>
      <c r="AR46" s="215"/>
      <c r="AS46" s="215">
        <f t="shared" ca="1" si="70"/>
        <v>0.83333333333333326</v>
      </c>
      <c r="AT46" s="215">
        <f t="shared" ca="1" si="71"/>
        <v>1.3888888888888888</v>
      </c>
      <c r="AU46" s="215">
        <f t="shared" ca="1" si="72"/>
        <v>0.92592592592592582</v>
      </c>
      <c r="AV46" s="215"/>
      <c r="AW46" s="215"/>
      <c r="AX46" s="215"/>
      <c r="AY46" s="215"/>
      <c r="AZ46" s="225"/>
    </row>
    <row r="47" spans="1:52" ht="15.9" thickBot="1">
      <c r="A47" s="89"/>
      <c r="B47" s="89"/>
      <c r="C47" s="61"/>
      <c r="D47" s="62"/>
      <c r="E47" s="62"/>
      <c r="F47" s="62"/>
      <c r="H47" s="314" t="str">
        <f>+$H$10</f>
        <v>Mean</v>
      </c>
      <c r="I47" s="151" t="str">
        <f>+$I$10</f>
        <v>Std</v>
      </c>
      <c r="J47" s="152" t="s">
        <v>60</v>
      </c>
      <c r="K47" s="152" t="str">
        <f>+$K$10</f>
        <v>Var</v>
      </c>
      <c r="L47" s="71"/>
      <c r="M47" s="3"/>
      <c r="N47" s="103"/>
      <c r="Q47" s="137"/>
      <c r="R47" s="213"/>
      <c r="S47" s="213"/>
      <c r="T47" s="242"/>
      <c r="U47" s="213"/>
      <c r="V47" s="215"/>
      <c r="W47" s="215"/>
      <c r="X47" s="215"/>
      <c r="Y47" s="215"/>
      <c r="Z47" s="217"/>
      <c r="AA47" s="218"/>
      <c r="AB47" s="218"/>
      <c r="AC47" s="218"/>
      <c r="AD47" s="218"/>
      <c r="AE47" s="215"/>
      <c r="AF47" s="218"/>
      <c r="AG47" s="216"/>
      <c r="AH47" s="216"/>
      <c r="AI47" s="218"/>
      <c r="AJ47" s="215"/>
      <c r="AK47" s="215"/>
      <c r="AL47" s="215"/>
      <c r="AM47" s="215"/>
      <c r="AN47" s="215"/>
      <c r="AO47" s="215"/>
      <c r="AP47" s="214"/>
      <c r="AQ47" s="214"/>
      <c r="AR47" s="214"/>
      <c r="AS47" s="214"/>
      <c r="AT47" s="136"/>
      <c r="AU47" s="214"/>
      <c r="AV47" s="214"/>
      <c r="AW47" s="214"/>
      <c r="AX47" s="214"/>
      <c r="AY47" s="214"/>
      <c r="AZ47" s="226"/>
    </row>
    <row r="48" spans="1:52" ht="19.2" customHeight="1">
      <c r="A48" s="88">
        <v>97</v>
      </c>
      <c r="B48" s="311">
        <v>1</v>
      </c>
      <c r="C48" s="150" t="s">
        <v>143</v>
      </c>
      <c r="D48" s="251">
        <v>1</v>
      </c>
      <c r="E48" s="251">
        <v>2</v>
      </c>
      <c r="F48" s="251">
        <v>4</v>
      </c>
      <c r="H48" s="98">
        <f>+B48*(D48+FaktorA*E48+F48)/DivisorA</f>
        <v>2.2000000000000002</v>
      </c>
      <c r="I48" s="98">
        <f>+$B48*(F48-D48)/DivisorB</f>
        <v>0.6</v>
      </c>
      <c r="J48" s="99">
        <f>+IFERROR(I48/H48,0)</f>
        <v>0.27272727272727271</v>
      </c>
      <c r="K48" s="100">
        <f>+(H48*J48*H49)^2*J50</f>
        <v>0.47609999999999991</v>
      </c>
      <c r="L48" s="66"/>
      <c r="M48" s="3"/>
      <c r="N48" s="44" t="s">
        <v>141</v>
      </c>
      <c r="Q48" s="137"/>
      <c r="R48" s="213"/>
      <c r="S48" s="213"/>
      <c r="T48" s="242"/>
      <c r="U48" s="213"/>
      <c r="V48" s="215"/>
      <c r="W48" s="215"/>
      <c r="X48" s="215"/>
      <c r="Y48" s="215"/>
      <c r="Z48" s="217"/>
      <c r="AA48" s="218"/>
      <c r="AB48" s="218"/>
      <c r="AC48" s="218"/>
      <c r="AD48" s="218"/>
      <c r="AE48" s="218"/>
      <c r="AF48" s="218"/>
      <c r="AG48" s="218"/>
      <c r="AH48" s="218"/>
      <c r="AI48" s="218"/>
      <c r="AJ48" s="215"/>
      <c r="AK48" s="215"/>
      <c r="AL48" s="215"/>
      <c r="AM48" s="215"/>
      <c r="AN48" s="215"/>
      <c r="AO48" s="215"/>
      <c r="AP48" s="214"/>
      <c r="AQ48" s="214"/>
      <c r="AR48" s="214"/>
      <c r="AS48" s="214"/>
      <c r="AT48" s="136"/>
      <c r="AU48" s="214"/>
      <c r="AV48" s="214"/>
      <c r="AW48" s="214"/>
      <c r="AX48" s="214"/>
      <c r="AY48" s="214"/>
      <c r="AZ48" s="226"/>
    </row>
    <row r="49" spans="1:53" ht="15.9" thickBot="1">
      <c r="A49" s="90"/>
      <c r="B49" s="359">
        <f>+B48</f>
        <v>1</v>
      </c>
      <c r="C49" s="64" t="s">
        <v>144</v>
      </c>
      <c r="D49" s="253">
        <v>0.75</v>
      </c>
      <c r="E49" s="38">
        <v>1</v>
      </c>
      <c r="F49" s="38">
        <v>2</v>
      </c>
      <c r="H49" s="190">
        <f>+B49*(D49+FaktorA*E49+F49)/DivisorA</f>
        <v>1.1499999999999999</v>
      </c>
      <c r="I49" s="190">
        <f>+$B49*(F49-D49)/DivisorB</f>
        <v>0.25</v>
      </c>
      <c r="J49" s="191">
        <f>+IFERROR(I49/H49,0)</f>
        <v>0.21739130434782611</v>
      </c>
      <c r="K49" s="190">
        <f>+(H48*J49*H49)^2*J50</f>
        <v>0.30250000000000005</v>
      </c>
      <c r="L49" s="87"/>
      <c r="M49" s="3"/>
      <c r="N49" s="44" t="s">
        <v>142</v>
      </c>
      <c r="Q49" s="137"/>
      <c r="R49" s="213"/>
      <c r="S49" s="213"/>
      <c r="T49" s="242"/>
      <c r="U49" s="213"/>
      <c r="V49" s="215"/>
      <c r="W49" s="215"/>
      <c r="X49" s="215"/>
      <c r="Y49" s="215"/>
      <c r="Z49" s="217"/>
      <c r="AA49" s="218"/>
      <c r="AB49" s="218"/>
      <c r="AC49" s="218"/>
      <c r="AD49" s="218"/>
      <c r="AE49" s="218"/>
      <c r="AF49" s="218"/>
      <c r="AG49" s="218"/>
      <c r="AH49" s="218"/>
      <c r="AI49" s="218"/>
      <c r="AJ49" s="215"/>
      <c r="AK49" s="215"/>
      <c r="AL49" s="215"/>
      <c r="AM49" s="215"/>
      <c r="AN49" s="215"/>
      <c r="AO49" s="215"/>
      <c r="AP49" s="214"/>
      <c r="AQ49" s="214"/>
      <c r="AR49" s="214"/>
      <c r="AS49" s="214"/>
      <c r="AT49" s="136"/>
      <c r="AU49" s="214"/>
      <c r="AV49" s="214"/>
      <c r="AW49" s="214"/>
      <c r="AX49" s="214"/>
      <c r="AY49" s="214"/>
      <c r="AZ49" s="226"/>
    </row>
    <row r="50" spans="1:53" ht="16.3" thickTop="1" thickBot="1">
      <c r="A50" s="91">
        <f>+A48</f>
        <v>97</v>
      </c>
      <c r="B50" s="358">
        <f>+B48</f>
        <v>1</v>
      </c>
      <c r="C50" s="138" t="s">
        <v>145</v>
      </c>
      <c r="D50" s="101">
        <f>+$E50-(5/2)*$I50</f>
        <v>0.32404215815442194</v>
      </c>
      <c r="E50" s="101">
        <f>+H50</f>
        <v>2.5299999999999998</v>
      </c>
      <c r="F50" s="101">
        <f>+$E50+(5/2)*$I50</f>
        <v>4.7359578418455772</v>
      </c>
      <c r="H50" s="193">
        <f>+H48*H49</f>
        <v>2.5299999999999998</v>
      </c>
      <c r="I50" s="193">
        <f>+SQRT(K50)</f>
        <v>0.88238313673823121</v>
      </c>
      <c r="J50" s="201">
        <v>1</v>
      </c>
      <c r="K50" s="193">
        <f>+SUM(K48:K49)*J50</f>
        <v>0.77859999999999996</v>
      </c>
      <c r="L50" s="95">
        <f>+(IF(GrandTotal_Priority&lt;&gt;0,K50/GrandTotal_Priority,0))</f>
        <v>2.1187551179553744E-4</v>
      </c>
      <c r="M50" s="3"/>
      <c r="N50" s="195" t="s">
        <v>227</v>
      </c>
      <c r="O50" s="346">
        <f>+(IFERROR(((F50-E50)-(E50-D50))/E50,0))</f>
        <v>-1.7552933195654651E-16</v>
      </c>
      <c r="Q50" s="213">
        <v>1</v>
      </c>
      <c r="R50" s="213">
        <f ca="1">+SUM(INDIRECT("q10:q"&amp;ROW()-0))</f>
        <v>34</v>
      </c>
      <c r="S50" s="213">
        <f ca="1">+SUM(INDIRECT("q25:q"&amp;ROW()-0))</f>
        <v>22</v>
      </c>
      <c r="T50" s="242">
        <f ca="1">+L50+R50*deltaId</f>
        <v>2.1527551179553744E-4</v>
      </c>
      <c r="U50" s="213">
        <f ca="1">+RANK(T50,T$11:T$52)</f>
        <v>26</v>
      </c>
      <c r="V50" s="215">
        <f>+L50</f>
        <v>2.1187551179553744E-4</v>
      </c>
      <c r="W50" s="216">
        <f>+IFERROR(D50/$H50,0)</f>
        <v>0.12807990440886244</v>
      </c>
      <c r="X50" s="216">
        <f>+IFERROR(E50/$H50,0)</f>
        <v>1</v>
      </c>
      <c r="Y50" s="216">
        <f>+IFERROR(F50/$H50,0)</f>
        <v>1.8719200955911375</v>
      </c>
      <c r="Z50" s="217">
        <f>+$BC$11</f>
        <v>1.0327149552492128</v>
      </c>
      <c r="AA50" s="218" t="str">
        <f>+CONCATENATE("Opg",A50,": ",$C50)</f>
        <v>Opg97: Unk Unks Group 1</v>
      </c>
      <c r="AB50" s="218"/>
      <c r="AC50" s="218"/>
      <c r="AD50" s="218">
        <f>+$AE50-$K50/GrandTotal_Priority*(1/2)</f>
        <v>0.99989406224410227</v>
      </c>
      <c r="AE50" s="215">
        <v>1</v>
      </c>
      <c r="AF50" s="218">
        <f>+$AE50+$K50/GrandTotal_Priority*(1/2)</f>
        <v>1.0001059377558978</v>
      </c>
      <c r="AG50" s="216">
        <f t="shared" ref="AG50" si="92">+AF50-AD50</f>
        <v>2.118755117955784E-4</v>
      </c>
      <c r="AH50" s="216">
        <f t="shared" ref="AH50" si="93">+AG50-L50</f>
        <v>4.095573706563993E-17</v>
      </c>
      <c r="AI50" s="218"/>
      <c r="AJ50" s="215" t="e">
        <f ca="1">+VLOOKUP($R50,$U$11:$AA$52,$V$9,FALSE)</f>
        <v>#N/A</v>
      </c>
      <c r="AK50" s="215"/>
      <c r="AL50" s="215"/>
      <c r="AM50" s="215"/>
      <c r="AN50" s="215"/>
      <c r="AO50" s="215"/>
      <c r="AP50" s="215" t="e">
        <f ca="1">+CONCATENATE("#",R50,": ",VLOOKUP($R50,$U$11:$AA$52,$AA$9,FALSE))</f>
        <v>#N/A</v>
      </c>
      <c r="AQ50" s="215"/>
      <c r="AR50" s="215"/>
      <c r="AS50" s="215"/>
      <c r="AT50" s="136"/>
      <c r="AU50" s="215"/>
      <c r="AV50" s="215"/>
      <c r="AW50" s="215"/>
      <c r="AX50" s="215"/>
      <c r="AY50" s="215"/>
      <c r="AZ50" s="225"/>
    </row>
    <row r="51" spans="1:53" ht="15.9" thickBot="1">
      <c r="A51" s="92"/>
      <c r="B51" s="92"/>
      <c r="C51" s="97" t="s">
        <v>146</v>
      </c>
      <c r="D51" s="356">
        <f>+IFERROR(D50/$E50,0)</f>
        <v>0.12807990440886244</v>
      </c>
      <c r="E51" s="357">
        <v>1</v>
      </c>
      <c r="F51" s="356">
        <f>+IFERROR(F50/$E50,0)</f>
        <v>1.8719200955911375</v>
      </c>
      <c r="H51" s="192"/>
      <c r="I51" s="192"/>
      <c r="J51" s="330"/>
      <c r="K51" s="330"/>
      <c r="L51" s="330"/>
      <c r="N51" s="65"/>
      <c r="Q51" s="137"/>
      <c r="R51" s="136"/>
      <c r="S51" s="136"/>
      <c r="T51" s="244"/>
      <c r="U51" s="136"/>
      <c r="V51" s="136"/>
      <c r="W51" s="136"/>
      <c r="X51" s="136"/>
      <c r="Y51" s="136"/>
      <c r="Z51" s="136"/>
      <c r="AA51" s="218"/>
      <c r="AB51" s="218"/>
      <c r="AC51" s="218"/>
      <c r="AD51" s="218"/>
      <c r="AE51" s="218"/>
      <c r="AF51" s="218"/>
      <c r="AG51" s="218"/>
      <c r="AH51" s="218"/>
      <c r="AI51" s="218"/>
      <c r="AJ51" s="136"/>
      <c r="AK51" s="136"/>
      <c r="AL51" s="136"/>
      <c r="AM51" s="136"/>
      <c r="AN51" s="136"/>
      <c r="AO51" s="136"/>
      <c r="AP51" s="136"/>
      <c r="AQ51" s="136"/>
      <c r="AR51" s="136"/>
      <c r="AS51" s="136"/>
      <c r="AT51" s="136"/>
      <c r="AU51" s="136"/>
      <c r="AV51" s="136"/>
      <c r="AW51" s="136"/>
      <c r="AX51" s="136"/>
      <c r="AY51" s="136"/>
    </row>
    <row r="52" spans="1:53" ht="15.9" thickBot="1">
      <c r="H52" s="79"/>
      <c r="I52" s="80"/>
      <c r="J52" s="202"/>
      <c r="K52" s="75">
        <f>+SUM(K27:K47)+K50</f>
        <v>890.54938291008727</v>
      </c>
      <c r="L52" s="95">
        <f>+SUM(L27:L47)+SUM(L50:L51)</f>
        <v>0.24233959193844709</v>
      </c>
      <c r="M52" s="3"/>
      <c r="N52" s="159" t="s">
        <v>226</v>
      </c>
      <c r="Q52" s="137"/>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c r="AS52" s="136"/>
      <c r="AT52" s="136"/>
      <c r="AU52" s="136"/>
      <c r="AV52" s="136"/>
      <c r="AW52" s="136"/>
      <c r="AX52" s="136"/>
      <c r="AY52" s="136"/>
    </row>
    <row r="53" spans="1:53" ht="15.45">
      <c r="D53" s="1"/>
      <c r="E53" s="1"/>
      <c r="F53" s="1"/>
      <c r="G53" s="1"/>
      <c r="H53" s="326">
        <f>+SUM(H27:H47)+H50</f>
        <v>373.46029029999994</v>
      </c>
      <c r="I53" s="181" t="s">
        <v>147</v>
      </c>
      <c r="J53" s="122"/>
      <c r="K53" s="1"/>
    </row>
    <row r="54" spans="1:53">
      <c r="A54" s="32"/>
      <c r="B54" s="32"/>
      <c r="C54" s="32"/>
      <c r="D54" s="32"/>
      <c r="E54" s="32"/>
      <c r="F54" s="32"/>
      <c r="G54" s="32"/>
      <c r="H54" s="33"/>
      <c r="I54" s="33"/>
      <c r="J54" s="203"/>
      <c r="K54" s="32"/>
      <c r="L54" s="35"/>
      <c r="M54" s="32"/>
      <c r="N54" s="36"/>
      <c r="O54" s="36"/>
      <c r="P54" s="36"/>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row>
    <row r="55" spans="1:53" ht="15" customHeight="1">
      <c r="A55" s="376" t="s">
        <v>148</v>
      </c>
      <c r="B55" s="182"/>
      <c r="C55" s="37"/>
      <c r="D55" s="32"/>
      <c r="E55" s="32"/>
      <c r="F55" s="32"/>
      <c r="G55" s="32"/>
      <c r="H55" s="33"/>
      <c r="I55" s="33"/>
      <c r="J55" s="203"/>
      <c r="K55" s="32"/>
      <c r="L55" s="35"/>
      <c r="M55" s="32"/>
      <c r="N55" s="36"/>
      <c r="O55" s="36"/>
      <c r="P55" s="36"/>
      <c r="Q55" s="137"/>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6"/>
      <c r="AS55" s="136"/>
      <c r="AT55" s="136"/>
      <c r="AU55" s="136"/>
      <c r="AV55" s="136"/>
      <c r="AW55" s="136"/>
      <c r="AX55" s="136"/>
      <c r="AY55" s="136"/>
      <c r="AZ55" s="17"/>
      <c r="BA55" s="17"/>
    </row>
    <row r="56" spans="1:53">
      <c r="H56" s="20"/>
      <c r="I56" s="21"/>
    </row>
    <row r="57" spans="1:53" hidden="1">
      <c r="H57" s="20"/>
      <c r="I57" s="21"/>
    </row>
    <row r="58" spans="1:53" ht="15.9" hidden="1" thickBot="1">
      <c r="D58" s="82" t="str">
        <f>+$D$10</f>
        <v>Min</v>
      </c>
      <c r="E58" s="83" t="str">
        <f>+$H$10</f>
        <v>Mean</v>
      </c>
      <c r="F58" s="84" t="str">
        <f>+$F$10</f>
        <v>Max</v>
      </c>
      <c r="H58" s="322" t="s">
        <v>55</v>
      </c>
      <c r="I58" s="315" t="str">
        <f>$I$10</f>
        <v>Std</v>
      </c>
      <c r="J58" s="315" t="str">
        <f>$K$10</f>
        <v>Var</v>
      </c>
    </row>
    <row r="59" spans="1:53" ht="16.3" hidden="1" thickTop="1" thickBot="1">
      <c r="C59" s="138" t="s">
        <v>118</v>
      </c>
      <c r="D59" s="304" t="e">
        <f>+E59-2.5*I59</f>
        <v>#REF!</v>
      </c>
      <c r="E59" s="303" t="e">
        <f>+SUMIFS($H$11:$H$22,$H$11:$H$22,"&gt;=0")+SUMIFS($H$27:$H$39,$H$27:$H$39,"&gt;=0")+IF($H$50&gt;=0,$H$50)+IF(#REF!&gt;=0,#REF!)+IF(#REF!&gt;=0,#REF!)</f>
        <v>#REF!</v>
      </c>
      <c r="F59" s="306" t="e">
        <f>+E59+2.5*I59</f>
        <v>#REF!</v>
      </c>
      <c r="H59" s="323">
        <f>+IFERROR(ABS(I59/E59),0)</f>
        <v>0</v>
      </c>
      <c r="I59" s="324" t="e">
        <f>+SQRT(J59)</f>
        <v>#REF!</v>
      </c>
      <c r="J59" s="325" t="e">
        <f>+SUMIFS($K$11:$K$22,$H$11:$H$22,"&gt;=0")+SUMIFS($K$27:$K$39,$H$27:$H$39,"&gt;=0")+IF($K$50&gt;=0,$K$50)+IF(#REF!&gt;=0,#REF!)+IF(#REF!&gt;=0,#REF!)</f>
        <v>#REF!</v>
      </c>
      <c r="L59" s="343">
        <f>+IFERROR(ABS(E59)/$L$64,0)</f>
        <v>0</v>
      </c>
    </row>
    <row r="60" spans="1:53" hidden="1">
      <c r="H60" s="20"/>
      <c r="I60" s="21"/>
    </row>
    <row r="61" spans="1:53" hidden="1">
      <c r="H61" s="20"/>
      <c r="I61" s="21"/>
    </row>
    <row r="62" spans="1:53" ht="15.9" hidden="1" thickBot="1">
      <c r="D62" s="82" t="str">
        <f>+$D$10</f>
        <v>Min</v>
      </c>
      <c r="E62" s="83" t="str">
        <f>+$H$10</f>
        <v>Mean</v>
      </c>
      <c r="F62" s="84" t="str">
        <f>+$F$10</f>
        <v>Max</v>
      </c>
      <c r="H62" s="322" t="s">
        <v>55</v>
      </c>
      <c r="I62" s="315" t="str">
        <f>$I$10</f>
        <v>Std</v>
      </c>
      <c r="J62" s="315" t="str">
        <f>$K$10</f>
        <v>Var</v>
      </c>
    </row>
    <row r="63" spans="1:53" ht="16.3" hidden="1" thickTop="1" thickBot="1">
      <c r="C63" s="138" t="s">
        <v>119</v>
      </c>
      <c r="D63" s="304" t="e">
        <f>+E63-2.5*I63</f>
        <v>#REF!</v>
      </c>
      <c r="E63" s="305" t="e">
        <f>+SUMIFS($H$11:$H$22,$H$11:$H$22,"&lt;0")+SUMIFS($H$27:$H$39,$H$27:$H$39,"&lt;0")+IF($H$50&lt;0,$H$50)+IF(#REF!&lt;0,#REF!)+IF(#REF!&lt;0,#REF!)</f>
        <v>#REF!</v>
      </c>
      <c r="F63" s="306" t="e">
        <f>+E63+2.5*I63</f>
        <v>#REF!</v>
      </c>
      <c r="H63" s="323">
        <f>+IFERROR(ABS(I63/E63),0)</f>
        <v>0</v>
      </c>
      <c r="I63" s="324" t="e">
        <f>+SQRT(J63)</f>
        <v>#REF!</v>
      </c>
      <c r="J63" s="325" t="e">
        <f>+SUMIFS($K$11:$K$22,$H$11:$H$22,"&lt;0")+SUMIFS($K$27:$K$39,$H$27:$H$39,"&lt;0")+IF($K$50&lt;0,$K$50)+IF(#REF!&lt;0,#REF!)+IF(#REF!&lt;0,#REF!)</f>
        <v>#REF!</v>
      </c>
      <c r="L63" s="343">
        <f>+IFERROR(ABS(E63)/$L$64,0)</f>
        <v>0</v>
      </c>
    </row>
    <row r="64" spans="1:53" hidden="1">
      <c r="H64" s="20"/>
      <c r="I64" s="21"/>
      <c r="L64" s="342" t="e">
        <f>+ABS(E59)+ABS(E63)</f>
        <v>#REF!</v>
      </c>
    </row>
    <row r="65" spans="1:53">
      <c r="H65" s="20"/>
      <c r="I65" s="21"/>
    </row>
    <row r="66" spans="1:53" ht="15" customHeight="1">
      <c r="C66" s="3"/>
      <c r="E66" s="1"/>
      <c r="F66" s="1"/>
      <c r="G66" s="9" t="str">
        <f>+E177</f>
        <v>The budget is with 95% probability between 75 to 125 % of the Mean values.</v>
      </c>
      <c r="J66" s="200"/>
      <c r="K66" s="5"/>
      <c r="L66" s="10"/>
      <c r="N66" s="39"/>
      <c r="Q66" s="137"/>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row>
    <row r="67" spans="1:53" ht="15.9" thickBot="1">
      <c r="C67" s="3"/>
      <c r="D67" s="82" t="str">
        <f>+$BB$10</f>
        <v>Min</v>
      </c>
      <c r="E67" s="83" t="str">
        <f>+$BE$10</f>
        <v>Mean</v>
      </c>
      <c r="F67" s="84" t="str">
        <f>+$BD$10</f>
        <v>Max</v>
      </c>
      <c r="H67" s="85" t="str">
        <f>+$I$10</f>
        <v>Std</v>
      </c>
      <c r="J67" s="85" t="str">
        <f>+$I$10</f>
        <v>Std</v>
      </c>
      <c r="K67" s="85" t="str">
        <f>+$K$10</f>
        <v>Var</v>
      </c>
    </row>
    <row r="68" spans="1:53" s="63" customFormat="1" ht="16.3" thickTop="1" thickBot="1">
      <c r="A68" s="175" t="s">
        <v>238</v>
      </c>
      <c r="B68" s="176"/>
      <c r="C68" s="176"/>
      <c r="D68" s="304">
        <f>+GrandTotal-(5/2)*GrandTotal_StDev</f>
        <v>342.40998134885314</v>
      </c>
      <c r="E68" s="305">
        <f>+Mean_Tasks+Mean_GUs</f>
        <v>493.96029029999994</v>
      </c>
      <c r="F68" s="306">
        <f>+GrandTotal+(5/2)*GrandTotal_StDev</f>
        <v>645.51059925114669</v>
      </c>
      <c r="H68" s="323">
        <f>+IFERROR(J68/E68,0)</f>
        <v>0.1227226657099135</v>
      </c>
      <c r="J68" s="172">
        <f>+SQRT(GrandTotal_Priority)</f>
        <v>60.620123580458717</v>
      </c>
      <c r="K68" s="173">
        <f>+Var_Sum_GeneralUncert+Var_Sum_Tasks</f>
        <v>3674.7993829100874</v>
      </c>
      <c r="L68" s="343"/>
      <c r="N68" s="174"/>
      <c r="O68" s="209"/>
      <c r="P68" s="13"/>
      <c r="Q68" s="209"/>
      <c r="AZ68"/>
      <c r="BA68"/>
    </row>
    <row r="69" spans="1:53" ht="15.9" thickTop="1">
      <c r="A69" s="126"/>
      <c r="B69" s="126"/>
      <c r="D69" s="9" t="s">
        <v>150</v>
      </c>
      <c r="E69" s="1"/>
      <c r="F69" s="123" t="s">
        <v>228</v>
      </c>
      <c r="G69" s="1"/>
      <c r="L69" s="281" t="s">
        <v>126</v>
      </c>
      <c r="M69" s="282">
        <v>0</v>
      </c>
      <c r="N69" s="274" t="s">
        <v>87</v>
      </c>
    </row>
    <row r="70" spans="1:53" ht="15.45">
      <c r="D70" s="124">
        <f>+D68/$E$68</f>
        <v>0.69319333572521624</v>
      </c>
      <c r="E70" s="125">
        <f>+E68/$E$68</f>
        <v>1</v>
      </c>
      <c r="F70" s="124">
        <f>+F68/$E$68</f>
        <v>1.3068066642747835</v>
      </c>
      <c r="G70" s="1" t="s">
        <v>229</v>
      </c>
      <c r="U70" s="40"/>
    </row>
    <row r="71" spans="1:53" ht="15.45">
      <c r="D71" s="115"/>
      <c r="E71" s="1"/>
      <c r="F71" s="1"/>
      <c r="J71" s="122"/>
      <c r="K71" s="1"/>
    </row>
    <row r="72" spans="1:53" s="63" customFormat="1" ht="15.45">
      <c r="D72" s="1"/>
      <c r="E72" s="113" t="s">
        <v>42</v>
      </c>
      <c r="F72" s="113" t="s">
        <v>43</v>
      </c>
      <c r="G72" s="114"/>
      <c r="H72" s="1"/>
      <c r="K72" s="112"/>
      <c r="L72" s="77"/>
      <c r="O72" s="209"/>
      <c r="P72" s="13"/>
      <c r="Q72" s="209"/>
      <c r="R72"/>
      <c r="S72"/>
      <c r="T72"/>
    </row>
    <row r="73" spans="1:53" ht="16.75">
      <c r="A73" s="78" t="s">
        <v>151</v>
      </c>
      <c r="B73" s="78"/>
      <c r="C73" s="78"/>
      <c r="D73" s="349">
        <v>0.85</v>
      </c>
      <c r="E73" s="116">
        <f>CurveData!$D$7</f>
        <v>0.85000233157566996</v>
      </c>
      <c r="F73" s="117">
        <f>1-E73</f>
        <v>0.14999766842433004</v>
      </c>
      <c r="H73" s="118">
        <f>+$E$68+$J$68*J73</f>
        <v>556.78901045402722</v>
      </c>
      <c r="I73" s="112" t="str">
        <f>+Units</f>
        <v>Min.</v>
      </c>
      <c r="J73" s="246">
        <f>+_xlfn.NORM.INV(D73,0,1)</f>
        <v>1.0364333894937898</v>
      </c>
      <c r="K73" s="181" t="str">
        <f>+CONCATENATE("Budget = Mean ",IF(D73&gt;=50%,"+",""),ROUND(Budget_NoStd,2)," * Std.")</f>
        <v>Budget = Mean +1,04 * Std.</v>
      </c>
      <c r="L73" s="1"/>
    </row>
    <row r="74" spans="1:53" ht="15.45">
      <c r="E74" s="332">
        <f>+H73/GrandTotal</f>
        <v>1.1271938683894389</v>
      </c>
      <c r="F74" s="1" t="s">
        <v>230</v>
      </c>
      <c r="I74" s="119"/>
      <c r="J74" s="122"/>
      <c r="K74" s="1"/>
    </row>
    <row r="75" spans="1:53" ht="15.45">
      <c r="A75" s="179" t="str">
        <f>+CONCATENATE("The Assumed ",I165," budget is considered as:")</f>
        <v>The Assumed  budget is considered as:</v>
      </c>
      <c r="B75" s="179"/>
      <c r="D75" s="115" t="str">
        <f>+IF(Budget_Pii&gt;95%,"Meget robust",IF(Budget_Pii&gt;75%,"Robust",IF(Budget_Pii&gt;50%,"Robust'ish",IF(Budget_Pii&gt;30%,"Optimistisk",IF(Budget_Pii&gt;15%,"Meget Optimistisk","Correct?")))))</f>
        <v>Robust</v>
      </c>
      <c r="E75" s="115"/>
      <c r="F75" s="1"/>
      <c r="G75" s="1"/>
      <c r="H75" s="114"/>
      <c r="I75" s="119"/>
      <c r="J75" s="122"/>
      <c r="K75" s="1"/>
      <c r="M75" s="17"/>
    </row>
    <row r="76" spans="1:53" ht="15.45">
      <c r="A76" s="179" t="s">
        <v>231</v>
      </c>
      <c r="B76" s="179"/>
      <c r="D76" s="349">
        <v>0.95</v>
      </c>
      <c r="E76" s="1"/>
      <c r="F76" s="1"/>
      <c r="G76" s="1"/>
      <c r="H76" s="114"/>
      <c r="I76" s="110" t="s">
        <v>152</v>
      </c>
      <c r="J76" s="255">
        <f>+UncertaintyAnalysis</f>
        <v>0.12719386838943902</v>
      </c>
      <c r="K76" s="1" t="s">
        <v>77</v>
      </c>
      <c r="M76" s="246"/>
    </row>
    <row r="77" spans="1:53" ht="15.45">
      <c r="D77" s="1"/>
      <c r="E77" s="1"/>
      <c r="F77" s="1"/>
      <c r="G77" s="1"/>
      <c r="H77" s="114"/>
      <c r="I77" s="119"/>
      <c r="J77" s="122"/>
      <c r="K77" s="1"/>
    </row>
    <row r="78" spans="1:53" ht="14.15">
      <c r="A78" s="76" t="s">
        <v>153</v>
      </c>
      <c r="B78" s="76"/>
      <c r="C78" s="32"/>
      <c r="D78" s="32"/>
      <c r="E78" s="32"/>
      <c r="F78" s="32"/>
      <c r="G78" s="32"/>
      <c r="H78" s="33"/>
      <c r="I78" s="33"/>
      <c r="J78" s="196"/>
      <c r="K78" s="32"/>
      <c r="L78" s="35"/>
      <c r="M78" s="32"/>
      <c r="N78" s="36"/>
      <c r="O78" s="36"/>
      <c r="P78" s="36"/>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row>
    <row r="79" spans="1:53" hidden="1">
      <c r="H79" s="20"/>
      <c r="I79" s="21"/>
    </row>
    <row r="80" spans="1:53" ht="14.15">
      <c r="H80" s="20"/>
      <c r="I80" s="21"/>
      <c r="S80" s="205" t="s">
        <v>34</v>
      </c>
      <c r="T80" s="206">
        <v>-1.0000000000000001E-5</v>
      </c>
      <c r="U80" s="136"/>
      <c r="V80" s="136"/>
      <c r="W80" s="136"/>
      <c r="X80" s="136"/>
      <c r="Y80" s="136"/>
      <c r="Z80" s="136"/>
      <c r="AA80" s="136"/>
      <c r="AB80" s="136"/>
      <c r="AC80" s="136"/>
      <c r="AD80" s="136"/>
      <c r="AE80" s="136"/>
      <c r="AF80" s="136"/>
      <c r="AG80" s="136"/>
      <c r="AH80" s="136"/>
      <c r="AI80" s="136"/>
      <c r="AJ80" s="136"/>
      <c r="AK80" s="136"/>
      <c r="AL80" s="136"/>
      <c r="AM80" s="136"/>
      <c r="AN80" s="136"/>
      <c r="AO80" s="136"/>
      <c r="AP80" s="136"/>
      <c r="AQ80" s="136"/>
      <c r="AR80" s="136"/>
    </row>
    <row r="81" spans="2:52" ht="15.45">
      <c r="C81" s="1" t="s">
        <v>154</v>
      </c>
      <c r="H81" s="20"/>
      <c r="I81" s="21"/>
      <c r="S81" s="136"/>
      <c r="T81" s="227" t="s">
        <v>48</v>
      </c>
      <c r="U81" s="136"/>
      <c r="V81" s="228" t="s">
        <v>47</v>
      </c>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row>
    <row r="82" spans="2:52" ht="14.15">
      <c r="E82" s="153" t="s">
        <v>155</v>
      </c>
      <c r="F82" s="228" t="s">
        <v>58</v>
      </c>
      <c r="H82" s="350" t="s">
        <v>57</v>
      </c>
      <c r="I82" s="21"/>
      <c r="S82" s="136"/>
      <c r="T82" s="136"/>
      <c r="U82" s="137">
        <v>1</v>
      </c>
      <c r="V82" s="137">
        <f t="shared" ref="V82" si="94">+U82+1</f>
        <v>2</v>
      </c>
      <c r="W82" s="137">
        <f t="shared" ref="W82" si="95">+V82+1</f>
        <v>3</v>
      </c>
      <c r="X82" s="137">
        <f t="shared" ref="X82" si="96">+W82+1</f>
        <v>4</v>
      </c>
      <c r="Y82" s="137">
        <f t="shared" ref="Y82" si="97">+X82+1</f>
        <v>5</v>
      </c>
      <c r="Z82" s="137">
        <f t="shared" ref="Z82" si="98">+Y82+1</f>
        <v>6</v>
      </c>
      <c r="AA82" s="137">
        <f t="shared" ref="AA82" si="99">+Z82+1</f>
        <v>7</v>
      </c>
      <c r="AB82" s="137"/>
      <c r="AC82" s="137"/>
      <c r="AD82" s="137"/>
      <c r="AE82" s="137"/>
      <c r="AF82" s="137"/>
      <c r="AG82" s="137"/>
      <c r="AH82" s="137"/>
      <c r="AI82" s="137"/>
      <c r="AJ82" s="136"/>
      <c r="AK82" s="136"/>
      <c r="AL82" s="136"/>
      <c r="AM82" s="136"/>
      <c r="AN82" s="136"/>
      <c r="AO82" s="136"/>
      <c r="AP82" s="136"/>
      <c r="AQ82" s="136"/>
      <c r="AR82" s="136"/>
    </row>
    <row r="83" spans="2:52" ht="15.45">
      <c r="C83" s="16" t="str">
        <f>+_xlfn.CONCAT(C26," &amp; ",C10)</f>
        <v>Tasks &amp; General Uncertainties</v>
      </c>
      <c r="D83" s="45" t="str">
        <f>+$H$10</f>
        <v>Mean</v>
      </c>
      <c r="E83" s="154" t="s">
        <v>45</v>
      </c>
      <c r="F83" s="154" t="s">
        <v>58</v>
      </c>
      <c r="H83" s="154" t="s">
        <v>45</v>
      </c>
      <c r="I83" s="21"/>
      <c r="R83" s="229" t="s">
        <v>36</v>
      </c>
      <c r="S83" s="229" t="s">
        <v>46</v>
      </c>
      <c r="T83" s="230" t="s">
        <v>37</v>
      </c>
      <c r="U83" s="229" t="s">
        <v>38</v>
      </c>
      <c r="V83" s="231" t="s">
        <v>37</v>
      </c>
      <c r="W83" s="231"/>
      <c r="X83" s="231"/>
      <c r="Y83" s="231"/>
      <c r="Z83" s="231" t="s">
        <v>39</v>
      </c>
      <c r="AA83" s="231" t="s">
        <v>40</v>
      </c>
      <c r="AB83" s="231"/>
      <c r="AC83" s="231"/>
      <c r="AD83" s="231"/>
      <c r="AE83" s="231"/>
      <c r="AF83" s="231"/>
      <c r="AG83" s="231"/>
      <c r="AH83" s="231"/>
      <c r="AI83" s="231"/>
      <c r="AQ83" s="231" t="s">
        <v>37</v>
      </c>
      <c r="AR83" s="231"/>
      <c r="AS83" s="231" t="s">
        <v>40</v>
      </c>
      <c r="AU83" s="207"/>
      <c r="AV83" s="207"/>
      <c r="AW83" s="207"/>
      <c r="AX83" s="207"/>
      <c r="AY83" s="207"/>
      <c r="AZ83" s="207"/>
    </row>
    <row r="84" spans="2:52" ht="15.45">
      <c r="B84" s="364" t="str">
        <f>+C26</f>
        <v>Tasks</v>
      </c>
      <c r="C84" s="373" t="str">
        <f t="shared" ref="C84:C103" si="100">+C27</f>
        <v>Demolition</v>
      </c>
      <c r="D84" s="365">
        <f t="shared" ref="D84:D103" si="101">+H27</f>
        <v>14</v>
      </c>
      <c r="E84" s="365">
        <f>+D84*Budget_Factor</f>
        <v>15.780714157452145</v>
      </c>
      <c r="F84" s="366">
        <v>1</v>
      </c>
      <c r="G84" s="67"/>
      <c r="H84" s="365">
        <f t="shared" ref="H84:H104" si="102">+E84*F84</f>
        <v>15.780714157452145</v>
      </c>
      <c r="I84" s="370" t="s">
        <v>124</v>
      </c>
      <c r="Q84" s="137">
        <v>1</v>
      </c>
      <c r="R84" s="213">
        <v>1</v>
      </c>
      <c r="S84" s="371">
        <f ca="1">+SUM(INDIRECT("q92:q"&amp;ROW()-0))</f>
        <v>9</v>
      </c>
      <c r="T84" s="232">
        <f t="shared" ref="T84:T104" si="103">+H84+R84*deltaId_Budget</f>
        <v>15.780704157452146</v>
      </c>
      <c r="U84" s="213">
        <f>+RANK(T84,T$84:T$115,0)</f>
        <v>10</v>
      </c>
      <c r="V84" s="214">
        <f t="shared" ref="V84:V104" si="104">+H84</f>
        <v>15.780714157452145</v>
      </c>
      <c r="W84" s="214"/>
      <c r="X84" s="214"/>
      <c r="Y84" s="214"/>
      <c r="Z84" s="217">
        <f t="shared" ref="Z84:Z115" si="105">+$BC$11</f>
        <v>1.0327149552492128</v>
      </c>
      <c r="AA84" s="218" t="str">
        <f ca="1">+CONCATENATE($I84,"",S84,": ",$C84)</f>
        <v>Opg.9: Demolition</v>
      </c>
      <c r="AB84" s="218"/>
      <c r="AC84" s="218"/>
      <c r="AD84" s="218"/>
      <c r="AE84" s="218"/>
      <c r="AF84" s="218"/>
      <c r="AG84" s="218"/>
      <c r="AH84" s="218"/>
      <c r="AI84" s="218"/>
      <c r="AQ84" s="214">
        <f>+VLOOKUP($R84,$U$84:$AA$116,$V$82,FALSE)</f>
        <v>118.35535618089109</v>
      </c>
      <c r="AR84" s="214"/>
      <c r="AS84" s="220" t="str">
        <f ca="1">+CONCATENATE("#",R84,": ",VLOOKUP($R84,$U$84:$AA$116,$AA$82,FALSE))</f>
        <v>#1: Opg.7: Raw house</v>
      </c>
      <c r="AU84" s="233"/>
      <c r="AV84" s="233"/>
      <c r="AW84" s="233"/>
      <c r="AX84" s="233"/>
      <c r="AY84" s="233"/>
      <c r="AZ84" s="233"/>
    </row>
    <row r="85" spans="2:52" ht="15.45">
      <c r="B85" s="67"/>
      <c r="C85" s="373" t="str">
        <f t="shared" si="100"/>
        <v>Building site</v>
      </c>
      <c r="D85" s="365">
        <f t="shared" si="101"/>
        <v>33</v>
      </c>
      <c r="E85" s="365">
        <f t="shared" ref="E85:E104" si="106">+D85*Budget_Factor</f>
        <v>37.197397656851486</v>
      </c>
      <c r="F85" s="366">
        <v>1</v>
      </c>
      <c r="G85" s="67"/>
      <c r="H85" s="365">
        <f t="shared" si="102"/>
        <v>37.197397656851486</v>
      </c>
      <c r="I85" s="369" t="str">
        <f>+$I$84</f>
        <v>Opg.</v>
      </c>
      <c r="Q85" s="137">
        <v>1</v>
      </c>
      <c r="R85" s="213">
        <f t="shared" ref="R85:R115" si="107">+R84+1</f>
        <v>2</v>
      </c>
      <c r="S85" s="213">
        <f t="shared" ref="S85:S104" ca="1" si="108">+SUM(INDIRECT("q92:q"&amp;ROW()-0))</f>
        <v>8</v>
      </c>
      <c r="T85" s="232">
        <f t="shared" si="103"/>
        <v>37.197377656851486</v>
      </c>
      <c r="U85" s="213">
        <f>+RANK(T85,T$84:T$115,0)</f>
        <v>5</v>
      </c>
      <c r="V85" s="214">
        <f t="shared" si="104"/>
        <v>37.197397656851486</v>
      </c>
      <c r="W85" s="214"/>
      <c r="X85" s="214"/>
      <c r="Y85" s="214"/>
      <c r="Z85" s="217">
        <f t="shared" si="105"/>
        <v>1.0327149552492128</v>
      </c>
      <c r="AA85" s="218" t="str">
        <f t="shared" ref="AA85:AA115" ca="1" si="109">+CONCATENATE($I85,"",S85,": ",$C85)</f>
        <v>Opg.8: Building site</v>
      </c>
      <c r="AB85" s="218"/>
      <c r="AC85" s="218"/>
      <c r="AD85" s="218"/>
      <c r="AE85" s="218"/>
      <c r="AF85" s="218"/>
      <c r="AG85" s="218"/>
      <c r="AH85" s="218"/>
      <c r="AI85" s="218"/>
      <c r="AQ85" s="214">
        <f>+VLOOKUP($R85,$U$84:$AA$116,$V$82,FALSE)</f>
        <v>55.232499551082505</v>
      </c>
      <c r="AR85" s="214"/>
      <c r="AS85" s="220" t="str">
        <f ca="1">+CONCATENATE("#",R85,": ",VLOOKUP($R85,$U$84:$AA$116,$AA$82,FALSE))</f>
        <v>#2: Opg.5: Accommodation</v>
      </c>
      <c r="AU85" s="233"/>
      <c r="AV85" s="233"/>
      <c r="AW85" s="233"/>
      <c r="AX85" s="233"/>
      <c r="AY85" s="233"/>
      <c r="AZ85" s="233"/>
    </row>
    <row r="86" spans="2:52" ht="15.45">
      <c r="B86" s="67"/>
      <c r="C86" s="373" t="str">
        <f t="shared" si="100"/>
        <v>Raw house</v>
      </c>
      <c r="D86" s="365">
        <f t="shared" si="101"/>
        <v>105</v>
      </c>
      <c r="E86" s="365">
        <f t="shared" si="106"/>
        <v>118.35535618089109</v>
      </c>
      <c r="F86" s="366">
        <v>1</v>
      </c>
      <c r="G86" s="67"/>
      <c r="H86" s="365">
        <f t="shared" si="102"/>
        <v>118.35535618089109</v>
      </c>
      <c r="I86" s="369" t="str">
        <f t="shared" ref="I86:I104" si="110">+$I$84</f>
        <v>Opg.</v>
      </c>
      <c r="Q86" s="137">
        <v>1</v>
      </c>
      <c r="R86" s="213">
        <f t="shared" si="107"/>
        <v>3</v>
      </c>
      <c r="S86" s="213">
        <f t="shared" ca="1" si="108"/>
        <v>7</v>
      </c>
      <c r="T86" s="232">
        <f t="shared" si="103"/>
        <v>118.3553261808911</v>
      </c>
      <c r="U86" s="213">
        <f>+RANK(T86,T$84:T$115,0)</f>
        <v>1</v>
      </c>
      <c r="V86" s="214">
        <f t="shared" si="104"/>
        <v>118.35535618089109</v>
      </c>
      <c r="W86" s="214"/>
      <c r="X86" s="214"/>
      <c r="Y86" s="214"/>
      <c r="Z86" s="217">
        <f t="shared" si="105"/>
        <v>1.0327149552492128</v>
      </c>
      <c r="AA86" s="218" t="str">
        <f t="shared" ca="1" si="109"/>
        <v>Opg.7: Raw house</v>
      </c>
      <c r="AB86" s="218"/>
      <c r="AC86" s="218"/>
      <c r="AD86" s="218"/>
      <c r="AE86" s="218"/>
      <c r="AF86" s="218"/>
      <c r="AG86" s="218"/>
      <c r="AH86" s="218"/>
      <c r="AI86" s="218"/>
      <c r="AQ86" s="214">
        <f>+VLOOKUP($R86,$U$84:$AA$116,$V$82,FALSE)</f>
        <v>51.85091794591419</v>
      </c>
      <c r="AR86" s="214"/>
      <c r="AS86" s="220" t="str">
        <f ca="1">+CONCATENATE("#",R86,": ",VLOOKUP($R86,$U$84:$AA$116,$AA$82,FALSE))</f>
        <v>#3: Opg.12: Other</v>
      </c>
      <c r="AU86" s="233"/>
      <c r="AV86" s="233"/>
      <c r="AW86" s="233"/>
      <c r="AX86" s="233"/>
      <c r="AY86" s="233"/>
      <c r="AZ86" s="233"/>
    </row>
    <row r="87" spans="2:52" ht="15.45">
      <c r="B87" s="67"/>
      <c r="C87" s="373" t="str">
        <f t="shared" si="100"/>
        <v>Closing facades</v>
      </c>
      <c r="D87" s="365">
        <f t="shared" si="101"/>
        <v>10.199999999999999</v>
      </c>
      <c r="E87" s="365">
        <f t="shared" si="106"/>
        <v>11.497377457572275</v>
      </c>
      <c r="F87" s="366">
        <v>1</v>
      </c>
      <c r="G87" s="67"/>
      <c r="H87" s="365">
        <f t="shared" si="102"/>
        <v>11.497377457572275</v>
      </c>
      <c r="I87" s="369" t="str">
        <f t="shared" si="110"/>
        <v>Opg.</v>
      </c>
      <c r="Q87" s="137">
        <v>1</v>
      </c>
      <c r="R87" s="213">
        <f t="shared" si="107"/>
        <v>4</v>
      </c>
      <c r="S87" s="213">
        <f t="shared" ca="1" si="108"/>
        <v>6</v>
      </c>
      <c r="T87" s="232">
        <f t="shared" si="103"/>
        <v>11.497337457572275</v>
      </c>
      <c r="U87" s="213">
        <f>+RANK(T87,T$84:T$115,0)</f>
        <v>16</v>
      </c>
      <c r="V87" s="214">
        <f t="shared" si="104"/>
        <v>11.497377457572275</v>
      </c>
      <c r="W87" s="214"/>
      <c r="X87" s="214"/>
      <c r="Y87" s="214"/>
      <c r="Z87" s="217">
        <f t="shared" si="105"/>
        <v>1.0327149552492128</v>
      </c>
      <c r="AA87" s="218" t="str">
        <f t="shared" ca="1" si="109"/>
        <v>Opg.6: Closing facades</v>
      </c>
      <c r="AB87" s="218"/>
      <c r="AC87" s="218"/>
      <c r="AD87" s="218"/>
      <c r="AE87" s="218"/>
      <c r="AF87" s="218"/>
      <c r="AG87" s="218"/>
      <c r="AH87" s="218"/>
      <c r="AI87" s="218"/>
      <c r="AQ87" s="214">
        <f>+VLOOKUP($R87,$U$84:$AA$116,$V$82,FALSE)</f>
        <v>45.087754735577555</v>
      </c>
      <c r="AR87" s="214"/>
      <c r="AS87" s="220" t="str">
        <f ca="1">+CONCATENATE("#",R87,": ",VLOOKUP($R87,$U$84:$AA$116,$AA$82,FALSE))</f>
        <v>#4: Opg.4: Installations</v>
      </c>
      <c r="AU87" s="233"/>
      <c r="AV87" s="233"/>
      <c r="AW87" s="233"/>
      <c r="AX87" s="233"/>
      <c r="AY87" s="233"/>
      <c r="AZ87" s="233"/>
    </row>
    <row r="88" spans="2:52" ht="15.45">
      <c r="B88" s="67"/>
      <c r="C88" s="373" t="str">
        <f t="shared" si="100"/>
        <v>Accommodation</v>
      </c>
      <c r="D88" s="365">
        <f t="shared" si="101"/>
        <v>49</v>
      </c>
      <c r="E88" s="365">
        <f t="shared" si="106"/>
        <v>55.232499551082505</v>
      </c>
      <c r="F88" s="366">
        <v>1</v>
      </c>
      <c r="G88" s="67"/>
      <c r="H88" s="365">
        <f t="shared" si="102"/>
        <v>55.232499551082505</v>
      </c>
      <c r="I88" s="369" t="str">
        <f t="shared" si="110"/>
        <v>Opg.</v>
      </c>
      <c r="Q88" s="137">
        <v>1</v>
      </c>
      <c r="R88" s="213">
        <f t="shared" si="107"/>
        <v>5</v>
      </c>
      <c r="S88" s="213">
        <f t="shared" ca="1" si="108"/>
        <v>5</v>
      </c>
      <c r="T88" s="232">
        <f t="shared" si="103"/>
        <v>55.232449551082503</v>
      </c>
      <c r="U88" s="213">
        <f>+RANK(T88,T$84:T$115,0)</f>
        <v>2</v>
      </c>
      <c r="V88" s="214">
        <f t="shared" si="104"/>
        <v>55.232499551082505</v>
      </c>
      <c r="W88" s="214"/>
      <c r="X88" s="214"/>
      <c r="Y88" s="214"/>
      <c r="Z88" s="217">
        <f t="shared" si="105"/>
        <v>1.0327149552492128</v>
      </c>
      <c r="AA88" s="218" t="str">
        <f t="shared" ca="1" si="109"/>
        <v>Opg.5: Accommodation</v>
      </c>
      <c r="AB88" s="218"/>
      <c r="AC88" s="218"/>
      <c r="AD88" s="218"/>
      <c r="AE88" s="218"/>
      <c r="AF88" s="218"/>
      <c r="AG88" s="218"/>
      <c r="AH88" s="218"/>
      <c r="AI88" s="218"/>
      <c r="AQ88" s="214">
        <f>+VLOOKUP($R88,$U$84:$AA$116,$V$82,FALSE)</f>
        <v>37.197397656851486</v>
      </c>
      <c r="AR88" s="214"/>
      <c r="AS88" s="220" t="str">
        <f ca="1">+CONCATENATE("#",R88,": ",VLOOKUP($R88,$U$84:$AA$116,$AA$82,FALSE))</f>
        <v>#5: Opg.8: Building site</v>
      </c>
      <c r="AU88" s="233"/>
      <c r="AV88" s="233"/>
      <c r="AW88" s="233"/>
      <c r="AX88" s="233"/>
      <c r="AY88" s="233"/>
      <c r="AZ88" s="233"/>
    </row>
    <row r="89" spans="2:52" ht="15.45">
      <c r="B89" s="67"/>
      <c r="C89" s="373" t="str">
        <f t="shared" si="100"/>
        <v>Installations</v>
      </c>
      <c r="D89" s="365">
        <f t="shared" si="101"/>
        <v>40</v>
      </c>
      <c r="E89" s="365">
        <f t="shared" si="106"/>
        <v>45.087754735577555</v>
      </c>
      <c r="F89" s="366">
        <v>1</v>
      </c>
      <c r="G89" s="67"/>
      <c r="H89" s="365">
        <f t="shared" si="102"/>
        <v>45.087754735577555</v>
      </c>
      <c r="I89" s="369" t="str">
        <f t="shared" si="110"/>
        <v>Opg.</v>
      </c>
      <c r="Q89" s="137">
        <v>1</v>
      </c>
      <c r="R89" s="213">
        <f t="shared" si="107"/>
        <v>6</v>
      </c>
      <c r="S89" s="213">
        <f t="shared" ca="1" si="108"/>
        <v>4</v>
      </c>
      <c r="T89" s="232">
        <f t="shared" si="103"/>
        <v>45.087694735577557</v>
      </c>
      <c r="U89" s="213">
        <f>+RANK(T89,T$84:T$115,0)</f>
        <v>4</v>
      </c>
      <c r="V89" s="214">
        <f t="shared" si="104"/>
        <v>45.087754735577555</v>
      </c>
      <c r="W89" s="214"/>
      <c r="X89" s="214"/>
      <c r="Y89" s="214"/>
      <c r="Z89" s="217">
        <f t="shared" si="105"/>
        <v>1.0327149552492128</v>
      </c>
      <c r="AA89" s="218" t="str">
        <f t="shared" ca="1" si="109"/>
        <v>Opg.4: Installations</v>
      </c>
      <c r="AB89" s="218"/>
      <c r="AC89" s="218"/>
      <c r="AD89" s="218"/>
      <c r="AE89" s="218"/>
      <c r="AF89" s="218"/>
      <c r="AG89" s="218"/>
      <c r="AH89" s="218"/>
      <c r="AI89" s="218"/>
      <c r="AQ89" s="214">
        <f>+VLOOKUP($R89,$U$84:$AA$116,$V$82,FALSE)</f>
        <v>21.41668349939934</v>
      </c>
      <c r="AR89" s="214"/>
      <c r="AS89" s="220" t="str">
        <f ca="1">+CONCATENATE("#",R89,": ",VLOOKUP($R89,$U$84:$AA$116,$AA$82,FALSE))</f>
        <v>#6: G.U.4: Req. &amp; quality control</v>
      </c>
      <c r="AU89" s="233"/>
      <c r="AV89" s="233"/>
      <c r="AW89" s="233"/>
      <c r="AX89" s="233"/>
      <c r="AY89" s="233"/>
      <c r="AZ89" s="233"/>
    </row>
    <row r="90" spans="2:52" ht="15.45">
      <c r="B90" s="67"/>
      <c r="C90" s="373" t="str">
        <f t="shared" si="100"/>
        <v>Landscape</v>
      </c>
      <c r="D90" s="365">
        <f t="shared" si="101"/>
        <v>11.8</v>
      </c>
      <c r="E90" s="365">
        <f t="shared" si="106"/>
        <v>13.300887646995379</v>
      </c>
      <c r="F90" s="366">
        <v>1</v>
      </c>
      <c r="G90" s="67"/>
      <c r="H90" s="365">
        <f t="shared" si="102"/>
        <v>13.300887646995379</v>
      </c>
      <c r="I90" s="369" t="str">
        <f t="shared" si="110"/>
        <v>Opg.</v>
      </c>
      <c r="Q90" s="137">
        <v>1</v>
      </c>
      <c r="R90" s="213">
        <f t="shared" si="107"/>
        <v>7</v>
      </c>
      <c r="S90" s="213">
        <f t="shared" ca="1" si="108"/>
        <v>3</v>
      </c>
      <c r="T90" s="232">
        <f t="shared" si="103"/>
        <v>13.30081764699538</v>
      </c>
      <c r="U90" s="213">
        <f>+RANK(T90,T$84:T$115,0)</f>
        <v>14</v>
      </c>
      <c r="V90" s="214">
        <f t="shared" si="104"/>
        <v>13.300887646995379</v>
      </c>
      <c r="W90" s="214"/>
      <c r="X90" s="214"/>
      <c r="Y90" s="214"/>
      <c r="Z90" s="217">
        <f t="shared" si="105"/>
        <v>1.0327149552492128</v>
      </c>
      <c r="AA90" s="218" t="str">
        <f t="shared" ca="1" si="109"/>
        <v>Opg.3: Landscape</v>
      </c>
      <c r="AB90" s="218"/>
      <c r="AC90" s="218"/>
      <c r="AD90" s="218"/>
      <c r="AE90" s="218"/>
      <c r="AF90" s="218"/>
      <c r="AG90" s="218"/>
      <c r="AH90" s="218"/>
      <c r="AI90" s="218"/>
      <c r="AQ90" s="214">
        <f>+VLOOKUP($R90,$U$84:$AA$116,$V$82,FALSE)</f>
        <v>20.2894896310099</v>
      </c>
      <c r="AR90" s="214"/>
      <c r="AS90" s="220" t="str">
        <f ca="1">+CONCATENATE("#",R90,": ",VLOOKUP($R90,$U$84:$AA$116,$AA$82,FALSE))</f>
        <v>#7: Opg.4: Land purchase</v>
      </c>
      <c r="AU90" s="233"/>
      <c r="AV90" s="233"/>
      <c r="AW90" s="233"/>
      <c r="AX90" s="233"/>
      <c r="AY90" s="233"/>
      <c r="AZ90" s="233"/>
    </row>
    <row r="91" spans="2:52" ht="15.45">
      <c r="B91" s="67"/>
      <c r="C91" s="373" t="str">
        <f t="shared" si="100"/>
        <v>Projecting</v>
      </c>
      <c r="D91" s="365">
        <f t="shared" si="101"/>
        <v>13.281499999999999</v>
      </c>
      <c r="E91" s="365">
        <f t="shared" si="106"/>
        <v>14.970825363014333</v>
      </c>
      <c r="F91" s="366">
        <v>1</v>
      </c>
      <c r="G91" s="67"/>
      <c r="H91" s="365">
        <f t="shared" si="102"/>
        <v>14.970825363014333</v>
      </c>
      <c r="I91" s="369" t="str">
        <f t="shared" si="110"/>
        <v>Opg.</v>
      </c>
      <c r="Q91" s="137">
        <v>1</v>
      </c>
      <c r="R91" s="213">
        <f t="shared" si="107"/>
        <v>8</v>
      </c>
      <c r="S91" s="213">
        <f t="shared" ca="1" si="108"/>
        <v>2</v>
      </c>
      <c r="T91" s="232">
        <f t="shared" si="103"/>
        <v>14.970745363014332</v>
      </c>
      <c r="U91" s="213">
        <f>+RANK(T91,T$84:T$115,0)</f>
        <v>13</v>
      </c>
      <c r="V91" s="214">
        <f t="shared" si="104"/>
        <v>14.970825363014333</v>
      </c>
      <c r="W91" s="214"/>
      <c r="X91" s="214"/>
      <c r="Y91" s="214"/>
      <c r="Z91" s="217">
        <f t="shared" si="105"/>
        <v>1.0327149552492128</v>
      </c>
      <c r="AA91" s="218" t="str">
        <f t="shared" ca="1" si="109"/>
        <v>Opg.2: Projecting</v>
      </c>
      <c r="AB91" s="218"/>
      <c r="AC91" s="218"/>
      <c r="AD91" s="218"/>
      <c r="AE91" s="218"/>
      <c r="AF91" s="218"/>
      <c r="AG91" s="218"/>
      <c r="AH91" s="218"/>
      <c r="AI91" s="218"/>
      <c r="AQ91" s="214">
        <f>+VLOOKUP($R91,$U$84:$AA$116,$V$82,FALSE)</f>
        <v>19.162295762620463</v>
      </c>
      <c r="AR91" s="214"/>
      <c r="AS91" s="220" t="str">
        <f ca="1">+CONCATENATE("#",R91,": ",VLOOKUP($R91,$U$84:$AA$116,$AA$82,FALSE))</f>
        <v>#8: G.U.2: Geographic index</v>
      </c>
      <c r="AU91" s="233"/>
      <c r="AV91" s="233"/>
      <c r="AW91" s="233"/>
      <c r="AX91" s="233"/>
      <c r="AY91" s="233"/>
      <c r="AZ91" s="233"/>
    </row>
    <row r="92" spans="2:52" ht="15.45">
      <c r="B92" s="67"/>
      <c r="C92" s="373" t="str">
        <f t="shared" si="100"/>
        <v>Counselling</v>
      </c>
      <c r="D92" s="365">
        <f t="shared" si="101"/>
        <v>6.7065000000000001</v>
      </c>
      <c r="E92" s="365">
        <f t="shared" si="106"/>
        <v>7.5595256783537721</v>
      </c>
      <c r="F92" s="366">
        <v>1</v>
      </c>
      <c r="G92" s="67"/>
      <c r="H92" s="365">
        <f t="shared" si="102"/>
        <v>7.5595256783537721</v>
      </c>
      <c r="I92" s="369" t="str">
        <f t="shared" si="110"/>
        <v>Opg.</v>
      </c>
      <c r="Q92" s="137">
        <v>1</v>
      </c>
      <c r="R92" s="213">
        <f t="shared" si="107"/>
        <v>9</v>
      </c>
      <c r="S92" s="213">
        <f t="shared" ca="1" si="108"/>
        <v>1</v>
      </c>
      <c r="T92" s="232">
        <f t="shared" si="103"/>
        <v>7.5594356783537719</v>
      </c>
      <c r="U92" s="213">
        <f>+RANK(T92,T$84:T$115,0)</f>
        <v>19</v>
      </c>
      <c r="V92" s="214">
        <f t="shared" si="104"/>
        <v>7.5595256783537721</v>
      </c>
      <c r="W92" s="214"/>
      <c r="X92" s="214"/>
      <c r="Y92" s="214"/>
      <c r="Z92" s="217">
        <f t="shared" si="105"/>
        <v>1.0327149552492128</v>
      </c>
      <c r="AA92" s="218" t="str">
        <f t="shared" ca="1" si="109"/>
        <v>Opg.1: Counselling</v>
      </c>
      <c r="AB92" s="218"/>
      <c r="AC92" s="218"/>
      <c r="AD92" s="218"/>
      <c r="AE92" s="218"/>
      <c r="AF92" s="218"/>
      <c r="AG92" s="218"/>
      <c r="AH92" s="218"/>
      <c r="AI92" s="218"/>
      <c r="AQ92" s="214">
        <f>+VLOOKUP($R92,$U$84:$AA$116,$V$82,FALSE)</f>
        <v>18.035101894231023</v>
      </c>
      <c r="AR92" s="214"/>
      <c r="AS92" s="220" t="str">
        <f ca="1">+CONCATENATE("#",R92,": ",VLOOKUP($R92,$U$84:$AA$116,$AA$82,FALSE))</f>
        <v>#9: G.U.6: External conditions</v>
      </c>
      <c r="AU92" s="233"/>
      <c r="AV92" s="233"/>
      <c r="AW92" s="233"/>
      <c r="AX92" s="233"/>
      <c r="AY92" s="233"/>
      <c r="AZ92" s="233"/>
    </row>
    <row r="93" spans="2:52" ht="15.45">
      <c r="B93" s="67"/>
      <c r="C93" s="373" t="str">
        <f t="shared" si="100"/>
        <v>Construction management</v>
      </c>
      <c r="D93" s="365">
        <f t="shared" si="101"/>
        <v>1.3412999999999999</v>
      </c>
      <c r="E93" s="365">
        <f t="shared" si="106"/>
        <v>1.5119051356707542</v>
      </c>
      <c r="F93" s="366">
        <v>1</v>
      </c>
      <c r="G93" s="67"/>
      <c r="H93" s="365">
        <f t="shared" si="102"/>
        <v>1.5119051356707542</v>
      </c>
      <c r="I93" s="369" t="str">
        <f t="shared" si="110"/>
        <v>Opg.</v>
      </c>
      <c r="L93" s="260" t="s">
        <v>79</v>
      </c>
      <c r="M93" s="344" t="s">
        <v>81</v>
      </c>
      <c r="Q93" s="137">
        <v>1</v>
      </c>
      <c r="R93" s="213">
        <f t="shared" si="107"/>
        <v>10</v>
      </c>
      <c r="S93" s="213">
        <f t="shared" ca="1" si="108"/>
        <v>2</v>
      </c>
      <c r="T93" s="232">
        <f t="shared" si="103"/>
        <v>1.5118051356707543</v>
      </c>
      <c r="U93" s="213">
        <f>+RANK(T93,T$84:T$115,0)</f>
        <v>28</v>
      </c>
      <c r="V93" s="214">
        <f t="shared" si="104"/>
        <v>1.5119051356707542</v>
      </c>
      <c r="W93" s="214"/>
      <c r="X93" s="214"/>
      <c r="Y93" s="214"/>
      <c r="Z93" s="217">
        <f t="shared" si="105"/>
        <v>1.0327149552492128</v>
      </c>
      <c r="AA93" s="218" t="str">
        <f t="shared" ca="1" si="109"/>
        <v>Opg.2: Construction management</v>
      </c>
      <c r="AB93" s="218"/>
      <c r="AC93" s="218"/>
      <c r="AD93" s="218"/>
      <c r="AE93" s="218"/>
      <c r="AF93" s="218"/>
      <c r="AG93" s="218"/>
      <c r="AH93" s="218"/>
      <c r="AI93" s="218"/>
      <c r="AQ93" s="214">
        <f>+VLOOKUP($R93,$U$84:$AA$116,$V$82,FALSE)</f>
        <v>15.780714157452145</v>
      </c>
      <c r="AR93" s="214"/>
      <c r="AS93" s="220" t="str">
        <f ca="1">+CONCATENATE("#",R93,": ",VLOOKUP($R93,$U$84:$AA$116,$AA$82,FALSE))</f>
        <v>#10: Opg.9: Demolition</v>
      </c>
      <c r="AU93" s="233"/>
      <c r="AV93" s="233"/>
      <c r="AW93" s="233"/>
      <c r="AX93" s="233"/>
      <c r="AY93" s="233"/>
      <c r="AZ93" s="233"/>
    </row>
    <row r="94" spans="2:52" ht="15.45">
      <c r="B94" s="67"/>
      <c r="C94" s="373" t="str">
        <f t="shared" si="100"/>
        <v>Supervision</v>
      </c>
      <c r="D94" s="365">
        <f t="shared" si="101"/>
        <v>1.3412999999999999</v>
      </c>
      <c r="E94" s="365">
        <f t="shared" si="106"/>
        <v>1.5119051356707542</v>
      </c>
      <c r="F94" s="366">
        <v>1</v>
      </c>
      <c r="G94" s="67"/>
      <c r="H94" s="365">
        <f t="shared" si="102"/>
        <v>1.5119051356707542</v>
      </c>
      <c r="I94" s="369" t="str">
        <f t="shared" si="110"/>
        <v>Opg.</v>
      </c>
      <c r="L94" s="212" t="s">
        <v>232</v>
      </c>
      <c r="M94" s="266">
        <f>+HLOOKUP(GruppeStr,$BJ$2:$BM$5,$BO3,FALSE)</f>
        <v>3</v>
      </c>
      <c r="Q94" s="137">
        <v>1</v>
      </c>
      <c r="R94" s="213">
        <f t="shared" si="107"/>
        <v>11</v>
      </c>
      <c r="S94" s="213">
        <f t="shared" ca="1" si="108"/>
        <v>3</v>
      </c>
      <c r="T94" s="232">
        <f t="shared" si="103"/>
        <v>1.5117951356707542</v>
      </c>
      <c r="U94" s="213">
        <f>+RANK(T94,T$84:T$115,0)</f>
        <v>29</v>
      </c>
      <c r="V94" s="214">
        <f t="shared" si="104"/>
        <v>1.5119051356707542</v>
      </c>
      <c r="W94" s="214"/>
      <c r="X94" s="214"/>
      <c r="Y94" s="214"/>
      <c r="Z94" s="217">
        <f t="shared" si="105"/>
        <v>1.0327149552492128</v>
      </c>
      <c r="AA94" s="218" t="str">
        <f t="shared" ca="1" si="109"/>
        <v>Opg.3: Supervision</v>
      </c>
      <c r="AB94" s="218"/>
      <c r="AC94" s="218"/>
      <c r="AD94" s="218"/>
      <c r="AE94" s="218"/>
      <c r="AF94" s="218"/>
      <c r="AG94" s="218"/>
      <c r="AH94" s="218"/>
      <c r="AI94" s="218"/>
      <c r="AQ94" s="214">
        <f>+VLOOKUP($R94,$U$84:$AA$116,$V$82,FALSE)</f>
        <v>15.780714157452145</v>
      </c>
      <c r="AR94" s="214"/>
      <c r="AS94" s="220" t="str">
        <f ca="1">+CONCATENATE("#",R94,": ",VLOOKUP($R94,$U$84:$AA$116,$AA$82,FALSE))</f>
        <v>#11: G.U.11: Contracting strategy</v>
      </c>
      <c r="AU94" s="233"/>
      <c r="AV94" s="233"/>
      <c r="AW94" s="233"/>
      <c r="AX94" s="233"/>
      <c r="AY94" s="233"/>
      <c r="AZ94" s="233"/>
    </row>
    <row r="95" spans="2:52" ht="15.45">
      <c r="B95" s="67"/>
      <c r="C95" s="373" t="str">
        <f t="shared" si="100"/>
        <v>Land purchase</v>
      </c>
      <c r="D95" s="365">
        <f t="shared" si="101"/>
        <v>18</v>
      </c>
      <c r="E95" s="365">
        <f t="shared" si="106"/>
        <v>20.2894896310099</v>
      </c>
      <c r="F95" s="366">
        <v>1</v>
      </c>
      <c r="G95" s="67"/>
      <c r="H95" s="365">
        <f t="shared" si="102"/>
        <v>20.2894896310099</v>
      </c>
      <c r="I95" s="369" t="str">
        <f t="shared" si="110"/>
        <v>Opg.</v>
      </c>
      <c r="L95" s="212" t="s">
        <v>82</v>
      </c>
      <c r="M95" s="266">
        <f>+HLOOKUP(GruppeStr,$BJ$2:$BM$5,$BO4,FALSE)</f>
        <v>5</v>
      </c>
      <c r="Q95" s="137">
        <v>1</v>
      </c>
      <c r="R95" s="213">
        <f t="shared" si="107"/>
        <v>12</v>
      </c>
      <c r="S95" s="213">
        <f t="shared" ca="1" si="108"/>
        <v>4</v>
      </c>
      <c r="T95" s="232">
        <f t="shared" si="103"/>
        <v>20.289369631009901</v>
      </c>
      <c r="U95" s="213">
        <f>+RANK(T95,T$84:T$115,0)</f>
        <v>7</v>
      </c>
      <c r="V95" s="214">
        <f t="shared" si="104"/>
        <v>20.2894896310099</v>
      </c>
      <c r="W95" s="214"/>
      <c r="X95" s="214"/>
      <c r="Y95" s="214"/>
      <c r="Z95" s="217">
        <f t="shared" si="105"/>
        <v>1.0327149552492128</v>
      </c>
      <c r="AA95" s="218" t="str">
        <f t="shared" ca="1" si="109"/>
        <v>Opg.4: Land purchase</v>
      </c>
      <c r="AB95" s="218"/>
      <c r="AC95" s="218"/>
      <c r="AD95" s="218"/>
      <c r="AE95" s="218"/>
      <c r="AF95" s="218"/>
      <c r="AG95" s="218"/>
      <c r="AH95" s="218"/>
      <c r="AI95" s="218"/>
      <c r="AQ95" s="214">
        <f>+VLOOKUP($R95,$U$84:$AA$116,$V$82,FALSE)</f>
        <v>15.780714157452145</v>
      </c>
      <c r="AR95" s="214"/>
      <c r="AS95" s="220" t="str">
        <f ca="1">+CONCATENATE("#",R95,": ",VLOOKUP($R95,$U$84:$AA$116,$AA$82,FALSE))</f>
        <v>#12: G.U.9: Compet. &amp; Experience level</v>
      </c>
      <c r="AU95" s="233"/>
      <c r="AV95" s="233"/>
      <c r="AW95" s="233"/>
      <c r="AX95" s="233"/>
      <c r="AY95" s="233"/>
      <c r="AZ95" s="233"/>
    </row>
    <row r="96" spans="2:52" ht="15.45">
      <c r="B96" s="67"/>
      <c r="C96" s="373" t="str">
        <f t="shared" si="100"/>
        <v>Geotechnical investigation</v>
      </c>
      <c r="D96" s="365">
        <f t="shared" si="101"/>
        <v>2</v>
      </c>
      <c r="E96" s="365">
        <f t="shared" ref="E96:E102" si="111">+D96*Budget_Factor</f>
        <v>2.2543877367788778</v>
      </c>
      <c r="F96" s="366">
        <v>1</v>
      </c>
      <c r="G96" s="67"/>
      <c r="H96" s="365">
        <f t="shared" ref="H96:H102" si="112">+E96*F96</f>
        <v>2.2543877367788778</v>
      </c>
      <c r="I96" s="369" t="str">
        <f t="shared" si="110"/>
        <v>Opg.</v>
      </c>
      <c r="L96" s="212" t="s">
        <v>83</v>
      </c>
      <c r="M96" s="266">
        <f>+HLOOKUP(GruppeStr,$BJ$2:$BM$5,$BO5,FALSE)</f>
        <v>5</v>
      </c>
      <c r="Q96" s="137">
        <v>1</v>
      </c>
      <c r="R96" s="213">
        <f t="shared" si="107"/>
        <v>13</v>
      </c>
      <c r="S96" s="213">
        <f t="shared" ca="1" si="108"/>
        <v>5</v>
      </c>
      <c r="T96" s="232">
        <f t="shared" ref="T96:T102" si="113">+H96+R96*deltaId_Budget</f>
        <v>2.2542577367788779</v>
      </c>
      <c r="U96" s="213">
        <f>+RANK(T96,T$84:T$115,0)</f>
        <v>27</v>
      </c>
      <c r="V96" s="214">
        <f t="shared" ref="V96:V102" si="114">+H96</f>
        <v>2.2543877367788778</v>
      </c>
      <c r="W96" s="214"/>
      <c r="X96" s="214"/>
      <c r="Y96" s="214"/>
      <c r="Z96" s="217">
        <f t="shared" si="105"/>
        <v>1.0327149552492128</v>
      </c>
      <c r="AA96" s="218" t="str">
        <f t="shared" ca="1" si="109"/>
        <v>Opg.5: Geotechnical investigation</v>
      </c>
      <c r="AB96" s="218"/>
      <c r="AC96" s="218"/>
      <c r="AD96" s="218"/>
      <c r="AE96" s="218"/>
      <c r="AF96" s="218"/>
      <c r="AG96" s="218"/>
      <c r="AH96" s="218"/>
      <c r="AI96" s="218"/>
      <c r="AQ96" s="214">
        <f>+VLOOKUP($R96,$U$84:$AA$116,$V$82,FALSE)</f>
        <v>14.970825363014333</v>
      </c>
      <c r="AR96" s="214"/>
      <c r="AS96" s="220" t="str">
        <f ca="1">+CONCATENATE("#",R96,": ",VLOOKUP($R96,$U$84:$AA$116,$AA$82,FALSE))</f>
        <v>#13: Opg.2: Projecting</v>
      </c>
      <c r="AU96" s="233"/>
      <c r="AV96" s="233"/>
      <c r="AW96" s="233"/>
      <c r="AX96" s="233"/>
      <c r="AY96" s="233"/>
      <c r="AZ96" s="233"/>
    </row>
    <row r="97" spans="2:52" ht="15.45">
      <c r="B97" s="67"/>
      <c r="C97" s="373" t="str">
        <f t="shared" si="100"/>
        <v>Internal roads</v>
      </c>
      <c r="D97" s="365">
        <f t="shared" si="101"/>
        <v>4.8</v>
      </c>
      <c r="E97" s="365">
        <f t="shared" si="111"/>
        <v>5.4105305682693068</v>
      </c>
      <c r="F97" s="366">
        <v>1</v>
      </c>
      <c r="G97" s="67"/>
      <c r="H97" s="365">
        <f t="shared" si="112"/>
        <v>5.4105305682693068</v>
      </c>
      <c r="I97" s="369" t="str">
        <f t="shared" si="110"/>
        <v>Opg.</v>
      </c>
      <c r="Q97" s="137">
        <v>1</v>
      </c>
      <c r="R97" s="213">
        <f t="shared" si="107"/>
        <v>14</v>
      </c>
      <c r="S97" s="213">
        <f t="shared" ca="1" si="108"/>
        <v>6</v>
      </c>
      <c r="T97" s="232">
        <f t="shared" si="113"/>
        <v>5.4103905682693068</v>
      </c>
      <c r="U97" s="213">
        <f>+RANK(T97,T$84:T$115,0)</f>
        <v>22</v>
      </c>
      <c r="V97" s="214">
        <f t="shared" si="114"/>
        <v>5.4105305682693068</v>
      </c>
      <c r="W97" s="214"/>
      <c r="X97" s="214"/>
      <c r="Y97" s="214"/>
      <c r="Z97" s="217">
        <f t="shared" si="105"/>
        <v>1.0327149552492128</v>
      </c>
      <c r="AA97" s="218" t="str">
        <f t="shared" ca="1" si="109"/>
        <v>Opg.6: Internal roads</v>
      </c>
      <c r="AB97" s="218"/>
      <c r="AC97" s="218"/>
      <c r="AD97" s="218"/>
      <c r="AE97" s="218"/>
      <c r="AF97" s="218"/>
      <c r="AG97" s="218"/>
      <c r="AH97" s="218"/>
      <c r="AI97" s="218"/>
      <c r="AQ97" s="214">
        <f>+VLOOKUP($R97,$U$84:$AA$116,$V$82,FALSE)</f>
        <v>13.300887646995379</v>
      </c>
      <c r="AR97" s="214"/>
      <c r="AS97" s="220" t="str">
        <f ca="1">+CONCATENATE("#",R97,": ",VLOOKUP($R97,$U$84:$AA$116,$AA$82,FALSE))</f>
        <v>#14: Opg.3: Landscape</v>
      </c>
      <c r="AU97" s="233"/>
      <c r="AV97" s="233"/>
      <c r="AW97" s="233"/>
      <c r="AX97" s="233"/>
      <c r="AY97" s="233"/>
      <c r="AZ97" s="233"/>
    </row>
    <row r="98" spans="2:52" ht="15.45">
      <c r="B98" s="67"/>
      <c r="C98" s="373" t="str">
        <f t="shared" si="100"/>
        <v>Terrain regulation</v>
      </c>
      <c r="D98" s="365">
        <f t="shared" si="101"/>
        <v>2.2000000000000002</v>
      </c>
      <c r="E98" s="365">
        <f t="shared" si="111"/>
        <v>2.4798265104567658</v>
      </c>
      <c r="F98" s="366">
        <v>1</v>
      </c>
      <c r="G98" s="67"/>
      <c r="H98" s="365">
        <f t="shared" si="112"/>
        <v>2.4798265104567658</v>
      </c>
      <c r="I98" s="369" t="str">
        <f t="shared" si="110"/>
        <v>Opg.</v>
      </c>
      <c r="Q98" s="137">
        <v>1</v>
      </c>
      <c r="R98" s="213">
        <f t="shared" si="107"/>
        <v>15</v>
      </c>
      <c r="S98" s="213">
        <f t="shared" ca="1" si="108"/>
        <v>7</v>
      </c>
      <c r="T98" s="232">
        <f t="shared" si="113"/>
        <v>2.4796765104567657</v>
      </c>
      <c r="U98" s="213">
        <f>+RANK(T98,T$84:T$115,0)</f>
        <v>25</v>
      </c>
      <c r="V98" s="214">
        <f t="shared" si="114"/>
        <v>2.4798265104567658</v>
      </c>
      <c r="W98" s="214"/>
      <c r="X98" s="214"/>
      <c r="Y98" s="214"/>
      <c r="Z98" s="217">
        <f t="shared" si="105"/>
        <v>1.0327149552492128</v>
      </c>
      <c r="AA98" s="218" t="str">
        <f t="shared" ca="1" si="109"/>
        <v>Opg.7: Terrain regulation</v>
      </c>
      <c r="AB98" s="218"/>
      <c r="AC98" s="218"/>
      <c r="AD98" s="218"/>
      <c r="AE98" s="218"/>
      <c r="AF98" s="218"/>
      <c r="AG98" s="218"/>
      <c r="AH98" s="218"/>
      <c r="AI98" s="218"/>
      <c r="AQ98" s="214">
        <f>+VLOOKUP($R98,$U$84:$AA$116,$V$82,FALSE)</f>
        <v>12.399132552283827</v>
      </c>
      <c r="AR98" s="214"/>
      <c r="AS98" s="220" t="str">
        <f ca="1">+CONCATENATE("#",R98,": ",VLOOKUP($R98,$U$84:$AA$116,$AA$82,FALSE))</f>
        <v>#15: G.U.3: Political issues</v>
      </c>
      <c r="AU98" s="233"/>
      <c r="AV98" s="233"/>
      <c r="AW98" s="233"/>
      <c r="AX98" s="233"/>
      <c r="AY98" s="233"/>
      <c r="AZ98" s="233"/>
    </row>
    <row r="99" spans="2:52" ht="15.45">
      <c r="B99" s="67"/>
      <c r="C99" s="373" t="str">
        <f t="shared" si="100"/>
        <v>Securing the outer rim</v>
      </c>
      <c r="D99" s="365">
        <f t="shared" si="101"/>
        <v>2.1</v>
      </c>
      <c r="E99" s="365">
        <f t="shared" si="111"/>
        <v>2.3671071236178216</v>
      </c>
      <c r="F99" s="366">
        <v>1</v>
      </c>
      <c r="G99" s="67"/>
      <c r="H99" s="365">
        <f t="shared" si="112"/>
        <v>2.3671071236178216</v>
      </c>
      <c r="I99" s="369" t="str">
        <f t="shared" si="110"/>
        <v>Opg.</v>
      </c>
      <c r="Q99" s="137">
        <v>1</v>
      </c>
      <c r="R99" s="213">
        <f t="shared" si="107"/>
        <v>16</v>
      </c>
      <c r="S99" s="213">
        <f t="shared" ca="1" si="108"/>
        <v>8</v>
      </c>
      <c r="T99" s="232">
        <f t="shared" si="113"/>
        <v>2.3669471236178214</v>
      </c>
      <c r="U99" s="213">
        <f>+RANK(T99,T$84:T$115,0)</f>
        <v>26</v>
      </c>
      <c r="V99" s="214">
        <f t="shared" si="114"/>
        <v>2.3671071236178216</v>
      </c>
      <c r="W99" s="214"/>
      <c r="X99" s="214"/>
      <c r="Y99" s="214"/>
      <c r="Z99" s="217">
        <f t="shared" si="105"/>
        <v>1.0327149552492128</v>
      </c>
      <c r="AA99" s="218" t="str">
        <f t="shared" ca="1" si="109"/>
        <v>Opg.8: Securing the outer rim</v>
      </c>
      <c r="AB99" s="218"/>
      <c r="AC99" s="218"/>
      <c r="AD99" s="218"/>
      <c r="AE99" s="218"/>
      <c r="AF99" s="218"/>
      <c r="AG99" s="218"/>
      <c r="AH99" s="218"/>
      <c r="AI99" s="218"/>
      <c r="AQ99" s="214">
        <f>+VLOOKUP($R99,$U$84:$AA$116,$V$82,FALSE)</f>
        <v>11.497377457572275</v>
      </c>
      <c r="AR99" s="214"/>
      <c r="AS99" s="220" t="str">
        <f ca="1">+CONCATENATE("#",R99,": ",VLOOKUP($R99,$U$84:$AA$116,$AA$82,FALSE))</f>
        <v>#16: Opg.6: Closing facades</v>
      </c>
      <c r="AU99" s="233"/>
      <c r="AV99" s="233"/>
      <c r="AW99" s="233"/>
      <c r="AX99" s="233"/>
      <c r="AY99" s="233"/>
      <c r="AZ99" s="233"/>
    </row>
    <row r="100" spans="2:52" ht="15.45">
      <c r="B100" s="67"/>
      <c r="C100" s="373" t="str">
        <f t="shared" si="100"/>
        <v>Building permit</v>
      </c>
      <c r="D100" s="365">
        <f t="shared" si="101"/>
        <v>1.08</v>
      </c>
      <c r="E100" s="365">
        <f t="shared" si="111"/>
        <v>1.2173693778605941</v>
      </c>
      <c r="F100" s="366">
        <v>1</v>
      </c>
      <c r="G100" s="67"/>
      <c r="H100" s="365">
        <f t="shared" si="112"/>
        <v>1.2173693778605941</v>
      </c>
      <c r="I100" s="369" t="str">
        <f t="shared" si="110"/>
        <v>Opg.</v>
      </c>
      <c r="Q100" s="137">
        <v>1</v>
      </c>
      <c r="R100" s="213">
        <f t="shared" si="107"/>
        <v>17</v>
      </c>
      <c r="S100" s="213">
        <f t="shared" ca="1" si="108"/>
        <v>9</v>
      </c>
      <c r="T100" s="232">
        <f t="shared" si="113"/>
        <v>1.2171993778605941</v>
      </c>
      <c r="U100" s="213">
        <f>+RANK(T100,T$84:T$115,0)</f>
        <v>30</v>
      </c>
      <c r="V100" s="214">
        <f t="shared" si="114"/>
        <v>1.2173693778605941</v>
      </c>
      <c r="W100" s="214"/>
      <c r="X100" s="214"/>
      <c r="Y100" s="214"/>
      <c r="Z100" s="217">
        <f t="shared" si="105"/>
        <v>1.0327149552492128</v>
      </c>
      <c r="AA100" s="218" t="str">
        <f t="shared" ca="1" si="109"/>
        <v>Opg.9: Building permit</v>
      </c>
      <c r="AB100" s="218"/>
      <c r="AC100" s="218"/>
      <c r="AD100" s="218"/>
      <c r="AE100" s="218"/>
      <c r="AF100" s="218"/>
      <c r="AG100" s="218"/>
      <c r="AH100" s="218"/>
      <c r="AI100" s="218"/>
      <c r="AQ100" s="214">
        <f>+VLOOKUP($R100,$U$84:$AA$116,$V$82,FALSE)</f>
        <v>9.5811478813102315</v>
      </c>
      <c r="AR100" s="214"/>
      <c r="AS100" s="220" t="str">
        <f ca="1">+CONCATENATE("#",R100,": ",VLOOKUP($R100,$U$84:$AA$116,$AA$82,FALSE))</f>
        <v>#17: G.U.8: The Builders Org.</v>
      </c>
      <c r="AU100" s="233"/>
      <c r="AV100" s="233"/>
      <c r="AW100" s="233"/>
      <c r="AX100" s="233"/>
      <c r="AY100" s="233"/>
      <c r="AZ100" s="233"/>
    </row>
    <row r="101" spans="2:52" ht="15.45">
      <c r="B101" s="67"/>
      <c r="C101" s="373" t="str">
        <f t="shared" si="100"/>
        <v>Insurances</v>
      </c>
      <c r="D101" s="365">
        <f t="shared" si="101"/>
        <v>1</v>
      </c>
      <c r="E101" s="365">
        <f t="shared" si="111"/>
        <v>1.1271938683894389</v>
      </c>
      <c r="F101" s="366">
        <v>1</v>
      </c>
      <c r="G101" s="67"/>
      <c r="H101" s="365">
        <f t="shared" si="112"/>
        <v>1.1271938683894389</v>
      </c>
      <c r="I101" s="369" t="str">
        <f t="shared" si="110"/>
        <v>Opg.</v>
      </c>
      <c r="Q101" s="137">
        <v>1</v>
      </c>
      <c r="R101" s="213">
        <f t="shared" si="107"/>
        <v>18</v>
      </c>
      <c r="S101" s="213">
        <f t="shared" ca="1" si="108"/>
        <v>10</v>
      </c>
      <c r="T101" s="232">
        <f t="shared" si="113"/>
        <v>1.1270138683894388</v>
      </c>
      <c r="U101" s="213">
        <f>+RANK(T101,T$84:T$115,0)</f>
        <v>31</v>
      </c>
      <c r="V101" s="214">
        <f t="shared" si="114"/>
        <v>1.1271938683894389</v>
      </c>
      <c r="W101" s="214"/>
      <c r="X101" s="214"/>
      <c r="Y101" s="214"/>
      <c r="Z101" s="217">
        <f t="shared" si="105"/>
        <v>1.0327149552492128</v>
      </c>
      <c r="AA101" s="218" t="str">
        <f t="shared" ca="1" si="109"/>
        <v>Opg.10: Insurances</v>
      </c>
      <c r="AB101" s="218"/>
      <c r="AC101" s="218"/>
      <c r="AD101" s="218"/>
      <c r="AE101" s="218"/>
      <c r="AF101" s="218"/>
      <c r="AG101" s="218"/>
      <c r="AH101" s="218"/>
      <c r="AI101" s="218"/>
      <c r="AQ101" s="214">
        <f>+VLOOKUP($R101,$U$84:$AA$116,$V$82,FALSE)</f>
        <v>9.1073773646456271</v>
      </c>
      <c r="AR101" s="214"/>
      <c r="AS101" s="220" t="str">
        <f ca="1">+CONCATENATE("#",R101,": ",VLOOKUP($R101,$U$84:$AA$116,$AA$82,FALSE))</f>
        <v>#18: Opg.11: Financing</v>
      </c>
      <c r="AU101" s="233"/>
      <c r="AV101" s="233"/>
      <c r="AW101" s="233"/>
      <c r="AX101" s="233"/>
      <c r="AY101" s="233"/>
      <c r="AZ101" s="233"/>
    </row>
    <row r="102" spans="2:52" ht="15.45">
      <c r="B102" s="67"/>
      <c r="C102" s="373" t="str">
        <f t="shared" si="100"/>
        <v>Financing</v>
      </c>
      <c r="D102" s="365">
        <f t="shared" si="101"/>
        <v>8.0796903000000011</v>
      </c>
      <c r="E102" s="365">
        <f t="shared" si="111"/>
        <v>9.1073773646456271</v>
      </c>
      <c r="F102" s="366">
        <v>1</v>
      </c>
      <c r="G102" s="67"/>
      <c r="H102" s="365">
        <f t="shared" si="112"/>
        <v>9.1073773646456271</v>
      </c>
      <c r="I102" s="369" t="str">
        <f t="shared" si="110"/>
        <v>Opg.</v>
      </c>
      <c r="Q102" s="137">
        <v>1</v>
      </c>
      <c r="R102" s="213">
        <f t="shared" si="107"/>
        <v>19</v>
      </c>
      <c r="S102" s="213">
        <f t="shared" ca="1" si="108"/>
        <v>11</v>
      </c>
      <c r="T102" s="232">
        <f t="shared" si="113"/>
        <v>9.1071873646456272</v>
      </c>
      <c r="U102" s="213">
        <f>+RANK(T102,T$84:T$115,0)</f>
        <v>18</v>
      </c>
      <c r="V102" s="214">
        <f t="shared" si="114"/>
        <v>9.1073773646456271</v>
      </c>
      <c r="W102" s="214"/>
      <c r="X102" s="214"/>
      <c r="Y102" s="214"/>
      <c r="Z102" s="217">
        <f t="shared" si="105"/>
        <v>1.0327149552492128</v>
      </c>
      <c r="AA102" s="218" t="str">
        <f t="shared" ca="1" si="109"/>
        <v>Opg.11: Financing</v>
      </c>
      <c r="AB102" s="218"/>
      <c r="AC102" s="218"/>
      <c r="AD102" s="218"/>
      <c r="AE102" s="218"/>
      <c r="AF102" s="218"/>
      <c r="AG102" s="218"/>
      <c r="AH102" s="218"/>
      <c r="AI102" s="218"/>
      <c r="AQ102" s="214">
        <f>+VLOOKUP($R102,$U$84:$AA$116,$V$82,FALSE)</f>
        <v>7.5595256783537721</v>
      </c>
      <c r="AR102" s="214"/>
      <c r="AS102" s="220" t="str">
        <f ca="1">+CONCATENATE("#",R102,": ",VLOOKUP($R102,$U$84:$AA$116,$AA$82,FALSE))</f>
        <v>#19: Opg.1: Counselling</v>
      </c>
      <c r="AU102" s="233"/>
      <c r="AV102" s="233"/>
      <c r="AW102" s="233"/>
      <c r="AX102" s="233"/>
      <c r="AY102" s="233"/>
      <c r="AZ102" s="233"/>
    </row>
    <row r="103" spans="2:52" ht="15.45">
      <c r="B103" s="67"/>
      <c r="C103" s="373" t="str">
        <f t="shared" si="100"/>
        <v>Other</v>
      </c>
      <c r="D103" s="365">
        <f t="shared" si="101"/>
        <v>46</v>
      </c>
      <c r="E103" s="365">
        <f t="shared" ref="E103" si="115">+D103*Budget_Factor</f>
        <v>51.85091794591419</v>
      </c>
      <c r="F103" s="366">
        <v>1</v>
      </c>
      <c r="G103" s="67"/>
      <c r="H103" s="365">
        <f t="shared" si="102"/>
        <v>51.85091794591419</v>
      </c>
      <c r="I103" s="369" t="str">
        <f t="shared" si="110"/>
        <v>Opg.</v>
      </c>
      <c r="Q103" s="137">
        <v>1</v>
      </c>
      <c r="R103" s="213">
        <f t="shared" si="107"/>
        <v>20</v>
      </c>
      <c r="S103" s="213">
        <f t="shared" ca="1" si="108"/>
        <v>12</v>
      </c>
      <c r="T103" s="232">
        <f t="shared" si="103"/>
        <v>51.850717945914191</v>
      </c>
      <c r="U103" s="213">
        <f>+RANK(T103,T$84:T$115,0)</f>
        <v>3</v>
      </c>
      <c r="V103" s="214">
        <f t="shared" si="104"/>
        <v>51.85091794591419</v>
      </c>
      <c r="W103" s="214"/>
      <c r="X103" s="214"/>
      <c r="Y103" s="214"/>
      <c r="Z103" s="217">
        <f t="shared" si="105"/>
        <v>1.0327149552492128</v>
      </c>
      <c r="AA103" s="218" t="str">
        <f t="shared" ca="1" si="109"/>
        <v>Opg.12: Other</v>
      </c>
      <c r="AB103" s="218"/>
      <c r="AC103" s="218"/>
      <c r="AD103" s="218"/>
      <c r="AE103" s="218"/>
      <c r="AF103" s="218"/>
      <c r="AG103" s="218"/>
      <c r="AH103" s="218"/>
      <c r="AI103" s="218"/>
      <c r="AQ103" s="214">
        <f>+VLOOKUP($R103,$U$84:$AA$116,$V$82,FALSE)</f>
        <v>6.7631632103366339</v>
      </c>
      <c r="AR103" s="214"/>
      <c r="AS103" s="220" t="str">
        <f ca="1">+CONCATENATE("#",R103,": ",VLOOKUP($R103,$U$84:$AA$116,$AA$82,FALSE))</f>
        <v>#20: G.U.5: Construction market index</v>
      </c>
      <c r="AU103" s="233"/>
      <c r="AV103" s="233"/>
      <c r="AW103" s="233"/>
      <c r="AX103" s="233"/>
      <c r="AY103" s="233"/>
      <c r="AZ103" s="233"/>
    </row>
    <row r="104" spans="2:52" ht="15.45">
      <c r="B104" s="67"/>
      <c r="C104" s="373" t="str">
        <f>+C50</f>
        <v>Unk Unks Group 1</v>
      </c>
      <c r="D104" s="365">
        <f>+H50</f>
        <v>2.5299999999999998</v>
      </c>
      <c r="E104" s="365">
        <f t="shared" si="106"/>
        <v>2.8518004870252804</v>
      </c>
      <c r="F104" s="366">
        <v>1</v>
      </c>
      <c r="G104" s="67"/>
      <c r="H104" s="365">
        <f t="shared" si="102"/>
        <v>2.8518004870252804</v>
      </c>
      <c r="I104" s="369" t="str">
        <f t="shared" si="110"/>
        <v>Opg.</v>
      </c>
      <c r="Q104" s="137">
        <v>1</v>
      </c>
      <c r="R104" s="213">
        <f t="shared" si="107"/>
        <v>21</v>
      </c>
      <c r="S104" s="213">
        <f t="shared" ca="1" si="108"/>
        <v>13</v>
      </c>
      <c r="T104" s="232">
        <f t="shared" si="103"/>
        <v>2.8515904870252804</v>
      </c>
      <c r="U104" s="213">
        <f>+RANK(T104,T$84:T$115,0)</f>
        <v>24</v>
      </c>
      <c r="V104" s="214">
        <f t="shared" si="104"/>
        <v>2.8518004870252804</v>
      </c>
      <c r="W104" s="214"/>
      <c r="X104" s="214"/>
      <c r="Y104" s="214"/>
      <c r="Z104" s="217">
        <f t="shared" si="105"/>
        <v>1.0327149552492128</v>
      </c>
      <c r="AA104" s="218" t="str">
        <f t="shared" ca="1" si="109"/>
        <v>Opg.13: Unk Unks Group 1</v>
      </c>
      <c r="AB104" s="218"/>
      <c r="AC104" s="218"/>
      <c r="AD104" s="218"/>
      <c r="AE104" s="218"/>
      <c r="AF104" s="218"/>
      <c r="AG104" s="218"/>
      <c r="AH104" s="218"/>
      <c r="AI104" s="218"/>
      <c r="AQ104" s="214">
        <f>+VLOOKUP($R104,$U$84:$AA$116,$V$82,FALSE)</f>
        <v>5.6359693419471943</v>
      </c>
      <c r="AR104" s="214"/>
      <c r="AS104" s="220" t="str">
        <f ca="1">+CONCATENATE("#",R104,": ",VLOOKUP($R104,$U$84:$AA$116,$AA$82,FALSE))</f>
        <v>#21: G.U.10: Interfaces</v>
      </c>
      <c r="AU104" s="233"/>
      <c r="AV104" s="233"/>
      <c r="AW104" s="233"/>
      <c r="AX104" s="233"/>
      <c r="AY104" s="233"/>
      <c r="AZ104" s="233"/>
    </row>
    <row r="105" spans="2:52" ht="15.45">
      <c r="B105" s="207" t="str">
        <f>+C10</f>
        <v>General Uncertainties</v>
      </c>
      <c r="C105" s="372" t="str">
        <f>+C11</f>
        <v>Contracting strategy</v>
      </c>
      <c r="D105" s="365">
        <f>+H11</f>
        <v>14</v>
      </c>
      <c r="E105" s="365">
        <f t="shared" ref="E105:E115" si="116">+D105*Budget_Factor</f>
        <v>15.780714157452145</v>
      </c>
      <c r="F105" s="366">
        <v>1</v>
      </c>
      <c r="G105" s="67"/>
      <c r="H105" s="365">
        <f t="shared" ref="H105:H115" si="117">+E105*F105</f>
        <v>15.780714157452145</v>
      </c>
      <c r="I105" s="370" t="s">
        <v>125</v>
      </c>
      <c r="Q105" s="137">
        <v>1</v>
      </c>
      <c r="R105" s="213">
        <f t="shared" si="107"/>
        <v>22</v>
      </c>
      <c r="S105" s="371">
        <f ca="1">+SUM(INDIRECT("q115:q"&amp;ROW()-0))</f>
        <v>11</v>
      </c>
      <c r="T105" s="232">
        <f t="shared" ref="T105:T115" si="118">+H105+R105*deltaId_Budget</f>
        <v>15.780494157452145</v>
      </c>
      <c r="U105" s="213">
        <f>+RANK(T105,T$84:T$115,0)</f>
        <v>11</v>
      </c>
      <c r="V105" s="214">
        <f t="shared" ref="V105:V115" si="119">+H105</f>
        <v>15.780714157452145</v>
      </c>
      <c r="W105" s="214"/>
      <c r="X105" s="214"/>
      <c r="Y105" s="214"/>
      <c r="Z105" s="217">
        <f t="shared" si="105"/>
        <v>1.0327149552492128</v>
      </c>
      <c r="AA105" s="218" t="str">
        <f t="shared" ca="1" si="109"/>
        <v>G.U.11: Contracting strategy</v>
      </c>
      <c r="AB105" s="218"/>
      <c r="AC105" s="218"/>
      <c r="AD105" s="218"/>
      <c r="AE105" s="218"/>
      <c r="AF105" s="218"/>
      <c r="AG105" s="218"/>
      <c r="AH105" s="218"/>
      <c r="AI105" s="218"/>
      <c r="AQ105" s="214"/>
      <c r="AR105" s="214"/>
      <c r="AS105" s="220"/>
      <c r="AU105" s="233"/>
      <c r="AV105" s="233"/>
      <c r="AW105" s="233"/>
      <c r="AX105" s="233"/>
      <c r="AY105" s="233"/>
      <c r="AZ105" s="233"/>
    </row>
    <row r="106" spans="2:52" ht="15.45">
      <c r="B106" s="67"/>
      <c r="C106" s="372" t="str">
        <f t="shared" ref="C106:C115" si="120">+C12</f>
        <v>Interfaces</v>
      </c>
      <c r="D106" s="365">
        <f t="shared" ref="D106:D115" si="121">+H12</f>
        <v>5</v>
      </c>
      <c r="E106" s="365">
        <f t="shared" si="116"/>
        <v>5.6359693419471943</v>
      </c>
      <c r="F106" s="366">
        <v>1</v>
      </c>
      <c r="G106" s="67"/>
      <c r="H106" s="365">
        <f t="shared" si="117"/>
        <v>5.6359693419471943</v>
      </c>
      <c r="I106" s="369" t="str">
        <f>+$I$105</f>
        <v>G.U.</v>
      </c>
      <c r="Q106" s="137">
        <v>1</v>
      </c>
      <c r="R106" s="213">
        <f t="shared" si="107"/>
        <v>23</v>
      </c>
      <c r="S106" s="213">
        <f t="shared" ref="S106:S115" ca="1" si="122">+SUM(INDIRECT("q115:q"&amp;ROW()-0))</f>
        <v>10</v>
      </c>
      <c r="T106" s="232">
        <f t="shared" si="118"/>
        <v>5.6357393419471942</v>
      </c>
      <c r="U106" s="213">
        <f>+RANK(T106,T$84:T$115,0)</f>
        <v>21</v>
      </c>
      <c r="V106" s="214">
        <f t="shared" si="119"/>
        <v>5.6359693419471943</v>
      </c>
      <c r="W106" s="214"/>
      <c r="X106" s="214"/>
      <c r="Y106" s="214"/>
      <c r="Z106" s="217">
        <f t="shared" si="105"/>
        <v>1.0327149552492128</v>
      </c>
      <c r="AA106" s="218" t="str">
        <f t="shared" ca="1" si="109"/>
        <v>G.U.10: Interfaces</v>
      </c>
      <c r="AB106" s="218"/>
      <c r="AC106" s="218"/>
      <c r="AD106" s="218"/>
      <c r="AE106" s="218"/>
      <c r="AF106" s="218"/>
      <c r="AG106" s="218"/>
      <c r="AH106" s="218"/>
      <c r="AI106" s="218"/>
      <c r="AQ106" s="214"/>
      <c r="AR106" s="214"/>
      <c r="AS106" s="220"/>
      <c r="AU106" s="233"/>
      <c r="AV106" s="233"/>
      <c r="AW106" s="233"/>
      <c r="AX106" s="233"/>
      <c r="AY106" s="233"/>
      <c r="AZ106" s="233"/>
    </row>
    <row r="107" spans="2:52" ht="15.45">
      <c r="B107" s="67"/>
      <c r="C107" s="372" t="str">
        <f t="shared" si="120"/>
        <v>Compet. &amp; Experience level</v>
      </c>
      <c r="D107" s="365">
        <f t="shared" si="121"/>
        <v>14</v>
      </c>
      <c r="E107" s="365">
        <f t="shared" si="116"/>
        <v>15.780714157452145</v>
      </c>
      <c r="F107" s="366">
        <v>1</v>
      </c>
      <c r="G107" s="67"/>
      <c r="H107" s="365">
        <f t="shared" si="117"/>
        <v>15.780714157452145</v>
      </c>
      <c r="I107" s="369" t="str">
        <f t="shared" ref="I107:I115" si="123">+$I$105</f>
        <v>G.U.</v>
      </c>
      <c r="Q107" s="137">
        <v>1</v>
      </c>
      <c r="R107" s="213">
        <f t="shared" si="107"/>
        <v>24</v>
      </c>
      <c r="S107" s="213">
        <f t="shared" ca="1" si="122"/>
        <v>9</v>
      </c>
      <c r="T107" s="232">
        <f t="shared" si="118"/>
        <v>15.780474157452145</v>
      </c>
      <c r="U107" s="213">
        <f>+RANK(T107,T$84:T$115,0)</f>
        <v>12</v>
      </c>
      <c r="V107" s="214">
        <f t="shared" si="119"/>
        <v>15.780714157452145</v>
      </c>
      <c r="W107" s="214"/>
      <c r="X107" s="214"/>
      <c r="Y107" s="214"/>
      <c r="Z107" s="217">
        <f t="shared" si="105"/>
        <v>1.0327149552492128</v>
      </c>
      <c r="AA107" s="218" t="str">
        <f t="shared" ca="1" si="109"/>
        <v>G.U.9: Compet. &amp; Experience level</v>
      </c>
      <c r="AB107" s="218"/>
      <c r="AC107" s="218"/>
      <c r="AD107" s="218"/>
      <c r="AE107" s="218"/>
      <c r="AF107" s="218"/>
      <c r="AG107" s="218"/>
      <c r="AH107" s="218"/>
      <c r="AI107" s="218"/>
      <c r="AQ107" s="214"/>
      <c r="AR107" s="214"/>
      <c r="AS107" s="220"/>
      <c r="AU107" s="233"/>
      <c r="AV107" s="233"/>
      <c r="AW107" s="233"/>
      <c r="AX107" s="233"/>
      <c r="AY107" s="233"/>
      <c r="AZ107" s="233"/>
    </row>
    <row r="108" spans="2:52" ht="15.45">
      <c r="B108" s="67"/>
      <c r="C108" s="372" t="str">
        <f t="shared" si="120"/>
        <v>The Builders Org.</v>
      </c>
      <c r="D108" s="365">
        <f t="shared" si="121"/>
        <v>8.5</v>
      </c>
      <c r="E108" s="365">
        <f t="shared" si="116"/>
        <v>9.5811478813102315</v>
      </c>
      <c r="F108" s="366">
        <v>1</v>
      </c>
      <c r="G108" s="67"/>
      <c r="H108" s="365">
        <f t="shared" si="117"/>
        <v>9.5811478813102315</v>
      </c>
      <c r="I108" s="369" t="str">
        <f t="shared" si="123"/>
        <v>G.U.</v>
      </c>
      <c r="Q108" s="137">
        <v>1</v>
      </c>
      <c r="R108" s="213">
        <f t="shared" si="107"/>
        <v>25</v>
      </c>
      <c r="S108" s="213">
        <f t="shared" ca="1" si="122"/>
        <v>8</v>
      </c>
      <c r="T108" s="232">
        <f t="shared" si="118"/>
        <v>9.5808978813102321</v>
      </c>
      <c r="U108" s="213">
        <f>+RANK(T108,T$84:T$115,0)</f>
        <v>17</v>
      </c>
      <c r="V108" s="214">
        <f t="shared" si="119"/>
        <v>9.5811478813102315</v>
      </c>
      <c r="W108" s="214"/>
      <c r="X108" s="214"/>
      <c r="Y108" s="214"/>
      <c r="Z108" s="217">
        <f t="shared" si="105"/>
        <v>1.0327149552492128</v>
      </c>
      <c r="AA108" s="218" t="str">
        <f t="shared" ca="1" si="109"/>
        <v>G.U.8: The Builders Org.</v>
      </c>
      <c r="AB108" s="218"/>
      <c r="AC108" s="218"/>
      <c r="AD108" s="218"/>
      <c r="AE108" s="218"/>
      <c r="AF108" s="218"/>
      <c r="AG108" s="218"/>
      <c r="AH108" s="218"/>
      <c r="AI108" s="218"/>
      <c r="AQ108" s="214"/>
      <c r="AR108" s="214"/>
      <c r="AS108" s="220"/>
      <c r="AU108" s="233"/>
      <c r="AV108" s="233"/>
      <c r="AW108" s="233"/>
      <c r="AX108" s="233"/>
      <c r="AY108" s="233"/>
      <c r="AZ108" s="233"/>
    </row>
    <row r="109" spans="2:52" ht="15.45">
      <c r="B109" s="67"/>
      <c r="C109" s="372" t="str">
        <f t="shared" si="120"/>
        <v>Project Org.</v>
      </c>
      <c r="D109" s="365">
        <f t="shared" si="121"/>
        <v>-4</v>
      </c>
      <c r="E109" s="365">
        <f t="shared" si="116"/>
        <v>-4.5087754735577557</v>
      </c>
      <c r="F109" s="366">
        <v>1</v>
      </c>
      <c r="G109" s="67"/>
      <c r="H109" s="365">
        <f t="shared" si="117"/>
        <v>-4.5087754735577557</v>
      </c>
      <c r="I109" s="369" t="str">
        <f t="shared" si="123"/>
        <v>G.U.</v>
      </c>
      <c r="Q109" s="137">
        <v>1</v>
      </c>
      <c r="R109" s="213">
        <f t="shared" si="107"/>
        <v>26</v>
      </c>
      <c r="S109" s="213">
        <f t="shared" ca="1" si="122"/>
        <v>7</v>
      </c>
      <c r="T109" s="232">
        <f t="shared" si="118"/>
        <v>-4.5090354735577556</v>
      </c>
      <c r="U109" s="213">
        <f>+RANK(T109,T$84:T$115,0)</f>
        <v>32</v>
      </c>
      <c r="V109" s="214">
        <f t="shared" si="119"/>
        <v>-4.5087754735577557</v>
      </c>
      <c r="W109" s="214"/>
      <c r="X109" s="214"/>
      <c r="Y109" s="214"/>
      <c r="Z109" s="217">
        <f t="shared" si="105"/>
        <v>1.0327149552492128</v>
      </c>
      <c r="AA109" s="218" t="str">
        <f t="shared" ca="1" si="109"/>
        <v>G.U.7: Project Org.</v>
      </c>
      <c r="AB109" s="218"/>
      <c r="AC109" s="218"/>
      <c r="AD109" s="218"/>
      <c r="AE109" s="218"/>
      <c r="AF109" s="218"/>
      <c r="AG109" s="218"/>
      <c r="AH109" s="218"/>
      <c r="AI109" s="218"/>
      <c r="AQ109" s="214"/>
      <c r="AR109" s="214"/>
      <c r="AS109" s="220"/>
      <c r="AU109" s="233"/>
      <c r="AV109" s="233"/>
      <c r="AW109" s="233"/>
      <c r="AX109" s="233"/>
      <c r="AY109" s="233"/>
      <c r="AZ109" s="233"/>
    </row>
    <row r="110" spans="2:52" ht="15.45">
      <c r="B110" s="67"/>
      <c r="C110" s="372" t="str">
        <f t="shared" si="120"/>
        <v>External conditions</v>
      </c>
      <c r="D110" s="365">
        <f t="shared" si="121"/>
        <v>16</v>
      </c>
      <c r="E110" s="365">
        <f t="shared" si="116"/>
        <v>18.035101894231023</v>
      </c>
      <c r="F110" s="366">
        <v>1</v>
      </c>
      <c r="G110" s="67"/>
      <c r="H110" s="365">
        <f t="shared" si="117"/>
        <v>18.035101894231023</v>
      </c>
      <c r="I110" s="369" t="str">
        <f t="shared" si="123"/>
        <v>G.U.</v>
      </c>
      <c r="Q110" s="137">
        <v>1</v>
      </c>
      <c r="R110" s="213">
        <f t="shared" si="107"/>
        <v>27</v>
      </c>
      <c r="S110" s="213">
        <f t="shared" ca="1" si="122"/>
        <v>6</v>
      </c>
      <c r="T110" s="232">
        <f t="shared" si="118"/>
        <v>18.034831894231022</v>
      </c>
      <c r="U110" s="213">
        <f>+RANK(T110,T$84:T$115,0)</f>
        <v>9</v>
      </c>
      <c r="V110" s="214">
        <f t="shared" si="119"/>
        <v>18.035101894231023</v>
      </c>
      <c r="W110" s="214"/>
      <c r="X110" s="214"/>
      <c r="Y110" s="214"/>
      <c r="Z110" s="217">
        <f t="shared" si="105"/>
        <v>1.0327149552492128</v>
      </c>
      <c r="AA110" s="218" t="str">
        <f t="shared" ca="1" si="109"/>
        <v>G.U.6: External conditions</v>
      </c>
      <c r="AB110" s="218"/>
      <c r="AC110" s="218"/>
      <c r="AD110" s="218"/>
      <c r="AE110" s="218"/>
      <c r="AF110" s="218"/>
      <c r="AG110" s="218"/>
      <c r="AH110" s="218"/>
      <c r="AI110" s="218"/>
      <c r="AQ110" s="214"/>
      <c r="AR110" s="214"/>
      <c r="AS110" s="220"/>
      <c r="AU110" s="233"/>
      <c r="AV110" s="233"/>
      <c r="AW110" s="233"/>
      <c r="AX110" s="233"/>
      <c r="AY110" s="233"/>
      <c r="AZ110" s="233"/>
    </row>
    <row r="111" spans="2:52" ht="15.45">
      <c r="B111" s="67"/>
      <c r="C111" s="372" t="str">
        <f t="shared" si="120"/>
        <v>Construction market index</v>
      </c>
      <c r="D111" s="365">
        <f t="shared" si="121"/>
        <v>6</v>
      </c>
      <c r="E111" s="365">
        <f t="shared" si="116"/>
        <v>6.7631632103366339</v>
      </c>
      <c r="F111" s="366">
        <v>1</v>
      </c>
      <c r="G111" s="67"/>
      <c r="H111" s="365">
        <f t="shared" si="117"/>
        <v>6.7631632103366339</v>
      </c>
      <c r="I111" s="369" t="str">
        <f t="shared" si="123"/>
        <v>G.U.</v>
      </c>
      <c r="Q111" s="137">
        <v>1</v>
      </c>
      <c r="R111" s="213">
        <f t="shared" si="107"/>
        <v>28</v>
      </c>
      <c r="S111" s="213">
        <f t="shared" ca="1" si="122"/>
        <v>5</v>
      </c>
      <c r="T111" s="232">
        <f t="shared" si="118"/>
        <v>6.7628832103366339</v>
      </c>
      <c r="U111" s="213">
        <f>+RANK(T111,T$84:T$115,0)</f>
        <v>20</v>
      </c>
      <c r="V111" s="214">
        <f t="shared" si="119"/>
        <v>6.7631632103366339</v>
      </c>
      <c r="W111" s="214"/>
      <c r="X111" s="214"/>
      <c r="Y111" s="214"/>
      <c r="Z111" s="217">
        <f t="shared" si="105"/>
        <v>1.0327149552492128</v>
      </c>
      <c r="AA111" s="218" t="str">
        <f t="shared" ca="1" si="109"/>
        <v>G.U.5: Construction market index</v>
      </c>
      <c r="AB111" s="218"/>
      <c r="AC111" s="218"/>
      <c r="AD111" s="218"/>
      <c r="AE111" s="218"/>
      <c r="AF111" s="218"/>
      <c r="AG111" s="218"/>
      <c r="AH111" s="218"/>
      <c r="AI111" s="218"/>
      <c r="AQ111" s="214"/>
      <c r="AR111" s="214"/>
      <c r="AS111" s="220"/>
      <c r="AU111" s="233"/>
      <c r="AV111" s="233"/>
      <c r="AW111" s="233"/>
      <c r="AX111" s="233"/>
      <c r="AY111" s="233"/>
      <c r="AZ111" s="233"/>
    </row>
    <row r="112" spans="2:52" ht="15.45">
      <c r="B112" s="67"/>
      <c r="C112" s="372" t="str">
        <f t="shared" si="120"/>
        <v>Req. &amp; quality control</v>
      </c>
      <c r="D112" s="365">
        <f t="shared" si="121"/>
        <v>19</v>
      </c>
      <c r="E112" s="365">
        <f t="shared" si="116"/>
        <v>21.41668349939934</v>
      </c>
      <c r="F112" s="366">
        <v>1</v>
      </c>
      <c r="G112" s="67"/>
      <c r="H112" s="365">
        <f t="shared" si="117"/>
        <v>21.41668349939934</v>
      </c>
      <c r="I112" s="369" t="str">
        <f t="shared" si="123"/>
        <v>G.U.</v>
      </c>
      <c r="Q112" s="137">
        <v>1</v>
      </c>
      <c r="R112" s="213">
        <f t="shared" si="107"/>
        <v>29</v>
      </c>
      <c r="S112" s="213">
        <f t="shared" ca="1" si="122"/>
        <v>4</v>
      </c>
      <c r="T112" s="232">
        <f t="shared" si="118"/>
        <v>21.416393499399341</v>
      </c>
      <c r="U112" s="213">
        <f>+RANK(T112,T$84:T$115,0)</f>
        <v>6</v>
      </c>
      <c r="V112" s="214">
        <f t="shared" si="119"/>
        <v>21.41668349939934</v>
      </c>
      <c r="W112" s="214"/>
      <c r="X112" s="214"/>
      <c r="Y112" s="214"/>
      <c r="Z112" s="217">
        <f t="shared" si="105"/>
        <v>1.0327149552492128</v>
      </c>
      <c r="AA112" s="218" t="str">
        <f t="shared" ca="1" si="109"/>
        <v>G.U.4: Req. &amp; quality control</v>
      </c>
      <c r="AB112" s="218"/>
      <c r="AC112" s="218"/>
      <c r="AD112" s="218"/>
      <c r="AE112" s="218"/>
      <c r="AF112" s="218"/>
      <c r="AG112" s="218"/>
      <c r="AH112" s="218"/>
      <c r="AI112" s="218"/>
      <c r="AQ112" s="214"/>
      <c r="AR112" s="214"/>
      <c r="AS112" s="220"/>
      <c r="AU112" s="233"/>
      <c r="AV112" s="233"/>
      <c r="AW112" s="233"/>
      <c r="AX112" s="233"/>
      <c r="AY112" s="233"/>
      <c r="AZ112" s="233"/>
    </row>
    <row r="113" spans="1:53" ht="15.45">
      <c r="B113" s="67"/>
      <c r="C113" s="372" t="str">
        <f t="shared" si="120"/>
        <v>Political issues</v>
      </c>
      <c r="D113" s="365">
        <f t="shared" si="121"/>
        <v>11</v>
      </c>
      <c r="E113" s="365">
        <f t="shared" si="116"/>
        <v>12.399132552283827</v>
      </c>
      <c r="F113" s="366">
        <v>1</v>
      </c>
      <c r="G113" s="67"/>
      <c r="H113" s="365">
        <f t="shared" si="117"/>
        <v>12.399132552283827</v>
      </c>
      <c r="I113" s="369" t="str">
        <f t="shared" si="123"/>
        <v>G.U.</v>
      </c>
      <c r="Q113" s="137">
        <v>1</v>
      </c>
      <c r="R113" s="213">
        <f t="shared" si="107"/>
        <v>30</v>
      </c>
      <c r="S113" s="213">
        <f t="shared" ca="1" si="122"/>
        <v>3</v>
      </c>
      <c r="T113" s="232">
        <f t="shared" si="118"/>
        <v>12.398832552283828</v>
      </c>
      <c r="U113" s="213">
        <f>+RANK(T113,T$84:T$115,0)</f>
        <v>15</v>
      </c>
      <c r="V113" s="214">
        <f t="shared" si="119"/>
        <v>12.399132552283827</v>
      </c>
      <c r="W113" s="214"/>
      <c r="X113" s="214"/>
      <c r="Y113" s="214"/>
      <c r="Z113" s="217">
        <f t="shared" si="105"/>
        <v>1.0327149552492128</v>
      </c>
      <c r="AA113" s="218" t="str">
        <f t="shared" ca="1" si="109"/>
        <v>G.U.3: Political issues</v>
      </c>
      <c r="AB113" s="218"/>
      <c r="AC113" s="218"/>
      <c r="AD113" s="218"/>
      <c r="AE113" s="218"/>
      <c r="AF113" s="218"/>
      <c r="AG113" s="218"/>
      <c r="AH113" s="218"/>
      <c r="AI113" s="218"/>
      <c r="AQ113" s="214"/>
      <c r="AR113" s="214"/>
      <c r="AS113" s="220"/>
      <c r="AU113" s="233"/>
      <c r="AV113" s="233"/>
      <c r="AW113" s="233"/>
      <c r="AX113" s="233"/>
      <c r="AY113" s="233"/>
      <c r="AZ113" s="233"/>
    </row>
    <row r="114" spans="1:53" ht="15.45">
      <c r="B114" s="67"/>
      <c r="C114" s="372" t="str">
        <f t="shared" si="120"/>
        <v>Geographic index</v>
      </c>
      <c r="D114" s="365">
        <f t="shared" si="121"/>
        <v>17</v>
      </c>
      <c r="E114" s="365">
        <f t="shared" si="116"/>
        <v>19.162295762620463</v>
      </c>
      <c r="F114" s="366">
        <v>1</v>
      </c>
      <c r="G114" s="67"/>
      <c r="H114" s="365">
        <f t="shared" si="117"/>
        <v>19.162295762620463</v>
      </c>
      <c r="I114" s="369" t="str">
        <f t="shared" si="123"/>
        <v>G.U.</v>
      </c>
      <c r="Q114" s="137">
        <v>1</v>
      </c>
      <c r="R114" s="213">
        <f t="shared" si="107"/>
        <v>31</v>
      </c>
      <c r="S114" s="213">
        <f t="shared" ca="1" si="122"/>
        <v>2</v>
      </c>
      <c r="T114" s="232">
        <f t="shared" si="118"/>
        <v>19.161985762620464</v>
      </c>
      <c r="U114" s="213">
        <f>+RANK(T114,T$84:T$115,0)</f>
        <v>8</v>
      </c>
      <c r="V114" s="214">
        <f t="shared" si="119"/>
        <v>19.162295762620463</v>
      </c>
      <c r="W114" s="214"/>
      <c r="X114" s="214"/>
      <c r="Y114" s="214"/>
      <c r="Z114" s="217">
        <f t="shared" si="105"/>
        <v>1.0327149552492128</v>
      </c>
      <c r="AA114" s="218" t="str">
        <f t="shared" ca="1" si="109"/>
        <v>G.U.2: Geographic index</v>
      </c>
      <c r="AB114" s="218"/>
      <c r="AC114" s="218"/>
      <c r="AD114" s="218"/>
      <c r="AE114" s="218"/>
      <c r="AF114" s="218"/>
      <c r="AG114" s="218"/>
      <c r="AH114" s="218"/>
      <c r="AI114" s="218"/>
      <c r="AQ114" s="214"/>
      <c r="AR114" s="214"/>
      <c r="AS114" s="220"/>
      <c r="AU114" s="233"/>
      <c r="AV114" s="233"/>
      <c r="AW114" s="233"/>
      <c r="AX114" s="233"/>
      <c r="AY114" s="233"/>
      <c r="AZ114" s="233"/>
    </row>
    <row r="115" spans="1:53" ht="15.9" thickBot="1">
      <c r="B115" s="67"/>
      <c r="C115" s="372" t="str">
        <f t="shared" si="120"/>
        <v>Media</v>
      </c>
      <c r="D115" s="365">
        <f t="shared" si="121"/>
        <v>4</v>
      </c>
      <c r="E115" s="365">
        <f t="shared" si="116"/>
        <v>4.5087754735577557</v>
      </c>
      <c r="F115" s="366">
        <v>1</v>
      </c>
      <c r="G115" s="67"/>
      <c r="H115" s="365">
        <f t="shared" si="117"/>
        <v>4.5087754735577557</v>
      </c>
      <c r="I115" s="369" t="str">
        <f t="shared" si="123"/>
        <v>G.U.</v>
      </c>
      <c r="Q115" s="137">
        <v>1</v>
      </c>
      <c r="R115" s="213">
        <f t="shared" si="107"/>
        <v>32</v>
      </c>
      <c r="S115" s="213">
        <f t="shared" ca="1" si="122"/>
        <v>1</v>
      </c>
      <c r="T115" s="232">
        <f t="shared" si="118"/>
        <v>4.5084554735577553</v>
      </c>
      <c r="U115" s="213">
        <f>+RANK(T115,T$84:T$115,0)</f>
        <v>23</v>
      </c>
      <c r="V115" s="214">
        <f t="shared" si="119"/>
        <v>4.5087754735577557</v>
      </c>
      <c r="W115" s="214"/>
      <c r="X115" s="214"/>
      <c r="Y115" s="214"/>
      <c r="Z115" s="217">
        <f t="shared" si="105"/>
        <v>1.0327149552492128</v>
      </c>
      <c r="AA115" s="218" t="str">
        <f t="shared" ca="1" si="109"/>
        <v>G.U.1: Media</v>
      </c>
      <c r="AB115" s="218"/>
      <c r="AC115" s="218"/>
      <c r="AD115" s="218"/>
      <c r="AE115" s="218"/>
      <c r="AF115" s="218"/>
      <c r="AG115" s="218"/>
      <c r="AH115" s="218"/>
      <c r="AI115" s="218"/>
      <c r="AQ115" s="214"/>
      <c r="AR115" s="214"/>
      <c r="AS115" s="220"/>
      <c r="AU115" s="233"/>
      <c r="AV115" s="233"/>
      <c r="AW115" s="233"/>
      <c r="AX115" s="233"/>
      <c r="AY115" s="233"/>
      <c r="AZ115" s="233"/>
    </row>
    <row r="116" spans="1:53" ht="15.9" thickBot="1">
      <c r="C116" s="367" t="s">
        <v>50</v>
      </c>
      <c r="D116" s="368">
        <f>+SUM(D84:D115)</f>
        <v>483.96029029999994</v>
      </c>
      <c r="E116" s="368">
        <f>+SUM(E84:E115)</f>
        <v>545.51707177013304</v>
      </c>
      <c r="F116" s="368"/>
      <c r="G116" s="63"/>
      <c r="H116" s="368">
        <f>+SUM(H84:H115)</f>
        <v>545.51707177013304</v>
      </c>
      <c r="I116" s="21"/>
      <c r="R116" s="13"/>
      <c r="S116" s="13"/>
      <c r="T116" s="13"/>
      <c r="U116" s="13"/>
      <c r="V116" s="13"/>
      <c r="W116" s="13"/>
      <c r="X116" s="13"/>
      <c r="Y116" s="13"/>
      <c r="Z116" s="13"/>
      <c r="AA116" s="13"/>
      <c r="AB116" s="13"/>
      <c r="AC116" s="13"/>
      <c r="AD116" s="13"/>
      <c r="AE116" s="13"/>
    </row>
    <row r="117" spans="1:53" ht="15.45">
      <c r="C117" s="1"/>
      <c r="D117" s="1"/>
      <c r="E117" s="1"/>
      <c r="F117" s="1"/>
      <c r="G117" s="1"/>
      <c r="H117" s="114"/>
      <c r="I117" s="21"/>
      <c r="R117" s="13"/>
      <c r="S117" s="13"/>
      <c r="T117" s="13"/>
      <c r="U117" s="13"/>
      <c r="V117" s="13"/>
      <c r="W117" s="13"/>
      <c r="X117" s="13"/>
      <c r="Y117" s="13"/>
      <c r="Z117" s="13"/>
      <c r="AA117" s="13"/>
      <c r="AB117" s="13"/>
      <c r="AC117" s="13"/>
      <c r="AD117" s="13"/>
      <c r="AE117" s="13"/>
    </row>
    <row r="118" spans="1:53" ht="15.45">
      <c r="C118" s="1" t="s">
        <v>156</v>
      </c>
      <c r="D118" s="1"/>
      <c r="E118" s="1"/>
      <c r="F118" s="1"/>
      <c r="G118" s="1"/>
      <c r="H118" s="114"/>
      <c r="I118" s="21"/>
    </row>
    <row r="119" spans="1:53" ht="15.45">
      <c r="C119" s="1" t="s">
        <v>157</v>
      </c>
      <c r="D119" s="1"/>
      <c r="E119" s="1"/>
      <c r="F119" s="1"/>
      <c r="G119" s="1"/>
      <c r="H119" s="114"/>
      <c r="I119" s="21"/>
    </row>
    <row r="120" spans="1:53">
      <c r="H120" s="20"/>
      <c r="I120" s="21"/>
    </row>
    <row r="121" spans="1:53">
      <c r="A121" s="32"/>
      <c r="B121" s="32"/>
      <c r="C121" s="32"/>
      <c r="D121" s="32"/>
      <c r="E121" s="32"/>
      <c r="F121" s="32"/>
      <c r="G121" s="32"/>
      <c r="H121" s="33"/>
      <c r="I121" s="33"/>
      <c r="J121" s="196"/>
      <c r="K121" s="32"/>
      <c r="L121" s="35"/>
      <c r="M121" s="32"/>
      <c r="N121" s="36"/>
      <c r="O121" s="36"/>
      <c r="P121" s="36"/>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row>
    <row r="122" spans="1:53">
      <c r="A122" s="32"/>
      <c r="B122" s="32"/>
      <c r="C122" s="32"/>
      <c r="D122" s="32"/>
      <c r="E122" s="32"/>
      <c r="F122" s="32"/>
      <c r="G122" s="32"/>
      <c r="H122" s="33"/>
      <c r="I122" s="33"/>
      <c r="J122" s="196"/>
      <c r="K122" s="32"/>
      <c r="L122" s="35"/>
      <c r="M122" s="32"/>
      <c r="N122" s="36"/>
      <c r="O122" s="36"/>
      <c r="P122" s="36"/>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row>
    <row r="123" spans="1:53">
      <c r="H123" s="20"/>
      <c r="I123" s="21"/>
    </row>
    <row r="124" spans="1:53">
      <c r="H124" s="20"/>
      <c r="I124" s="21"/>
    </row>
    <row r="125" spans="1:53">
      <c r="H125" s="20"/>
      <c r="I125" s="21"/>
    </row>
    <row r="126" spans="1:53">
      <c r="H126" s="20"/>
      <c r="I126" s="21"/>
    </row>
    <row r="127" spans="1:53">
      <c r="H127" s="20"/>
      <c r="I127" s="21"/>
    </row>
    <row r="128" spans="1:53">
      <c r="H128" s="20"/>
      <c r="I128" s="21"/>
    </row>
    <row r="129" spans="8:17">
      <c r="H129" s="20"/>
      <c r="I129" s="21"/>
    </row>
    <row r="130" spans="8:17">
      <c r="H130" s="20"/>
      <c r="I130" s="21"/>
    </row>
    <row r="131" spans="8:17">
      <c r="H131" s="20"/>
      <c r="I131" s="21"/>
    </row>
    <row r="132" spans="8:17">
      <c r="H132" s="20"/>
      <c r="I132" s="21"/>
    </row>
    <row r="133" spans="8:17" s="128" customFormat="1" ht="12.9">
      <c r="H133" s="129"/>
      <c r="I133" s="130"/>
      <c r="J133" s="133"/>
      <c r="L133" s="131"/>
      <c r="N133" s="132"/>
      <c r="O133" s="133"/>
      <c r="P133" s="13"/>
      <c r="Q133" s="133"/>
    </row>
    <row r="134" spans="8:17">
      <c r="H134" s="21"/>
      <c r="I134" s="21"/>
    </row>
    <row r="143" spans="8:17" ht="1.5" customHeight="1">
      <c r="L143"/>
      <c r="N143"/>
    </row>
    <row r="144" spans="8:17" ht="9.65" hidden="1" customHeight="1">
      <c r="L144"/>
      <c r="N144"/>
    </row>
    <row r="145" spans="12:17" hidden="1">
      <c r="L145"/>
      <c r="N145"/>
    </row>
    <row r="146" spans="12:17" hidden="1">
      <c r="L146"/>
      <c r="N146"/>
    </row>
    <row r="147" spans="12:17" ht="10.5" hidden="1" customHeight="1">
      <c r="L147"/>
      <c r="N147"/>
      <c r="O147"/>
      <c r="Q147"/>
    </row>
    <row r="148" spans="12:17" hidden="1">
      <c r="L148"/>
      <c r="N148"/>
    </row>
    <row r="149" spans="12:17" hidden="1">
      <c r="L149"/>
      <c r="N149"/>
    </row>
    <row r="150" spans="12:17" hidden="1">
      <c r="L150"/>
      <c r="N150"/>
    </row>
    <row r="151" spans="12:17" ht="9.75" customHeight="1"/>
    <row r="154" spans="12:17" ht="10.5" customHeight="1">
      <c r="O154"/>
      <c r="P154"/>
      <c r="Q154"/>
    </row>
    <row r="162" spans="1:53">
      <c r="A162" s="32"/>
      <c r="B162" s="32"/>
      <c r="C162" s="32"/>
      <c r="D162" s="32"/>
      <c r="E162" s="32"/>
      <c r="F162" s="32"/>
      <c r="G162" s="32"/>
      <c r="H162" s="33"/>
      <c r="I162" s="33"/>
      <c r="J162" s="196"/>
      <c r="K162" s="32"/>
      <c r="L162" s="35"/>
      <c r="M162" s="32"/>
      <c r="N162" s="36"/>
      <c r="O162" s="36"/>
      <c r="P162" s="36"/>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row>
    <row r="165" spans="1:53" ht="15.45">
      <c r="C165" s="53" t="s">
        <v>21</v>
      </c>
      <c r="D165" s="54"/>
      <c r="E165" s="54"/>
      <c r="O165"/>
      <c r="P165"/>
      <c r="Q165"/>
    </row>
    <row r="166" spans="1:53" ht="15.45">
      <c r="C166" s="47" t="s">
        <v>22</v>
      </c>
      <c r="D166" s="54"/>
      <c r="E166" s="54"/>
      <c r="O166"/>
      <c r="P166"/>
      <c r="Q166"/>
    </row>
    <row r="167" spans="1:53" ht="15.45">
      <c r="C167" s="47" t="s">
        <v>23</v>
      </c>
      <c r="D167" s="54"/>
      <c r="E167" s="54"/>
      <c r="O167"/>
      <c r="P167"/>
      <c r="Q167"/>
    </row>
    <row r="168" spans="1:53">
      <c r="C168" s="48"/>
      <c r="D168" s="48"/>
      <c r="E168" s="48"/>
      <c r="O168"/>
      <c r="P168"/>
      <c r="Q168"/>
    </row>
    <row r="169" spans="1:53" ht="18.45">
      <c r="C169" s="55" t="s">
        <v>31</v>
      </c>
      <c r="D169" s="48"/>
      <c r="E169" s="47" t="s">
        <v>19</v>
      </c>
      <c r="F169" s="1"/>
      <c r="G169" s="1"/>
      <c r="H169" s="1"/>
      <c r="I169" s="1"/>
      <c r="J169" s="377"/>
      <c r="K169" s="29"/>
      <c r="L169" s="378"/>
      <c r="M169" s="29"/>
      <c r="O169"/>
      <c r="P169"/>
      <c r="Q169"/>
    </row>
    <row r="170" spans="1:53" ht="15.45">
      <c r="C170" s="48"/>
      <c r="D170" s="48"/>
      <c r="E170" s="47" t="s">
        <v>5</v>
      </c>
      <c r="F170" s="1"/>
      <c r="G170" s="1"/>
      <c r="H170" s="1"/>
      <c r="I170" s="1"/>
      <c r="J170" s="377"/>
      <c r="K170" s="29"/>
      <c r="L170" s="378"/>
      <c r="M170" s="29"/>
      <c r="O170"/>
      <c r="P170"/>
      <c r="Q170"/>
    </row>
    <row r="171" spans="1:53" ht="15.45">
      <c r="C171" s="48"/>
      <c r="D171" s="48"/>
      <c r="E171" s="47" t="s">
        <v>18</v>
      </c>
      <c r="F171" s="1"/>
      <c r="G171" s="1"/>
      <c r="H171" s="1"/>
      <c r="I171" s="1"/>
      <c r="J171" s="377"/>
      <c r="K171" s="29"/>
      <c r="L171" s="378"/>
      <c r="M171" s="29"/>
      <c r="O171"/>
      <c r="P171"/>
      <c r="Q171"/>
    </row>
    <row r="172" spans="1:53" ht="15.45">
      <c r="C172" s="48"/>
      <c r="D172" s="48"/>
      <c r="E172" s="47" t="s">
        <v>32</v>
      </c>
      <c r="F172" s="1"/>
      <c r="G172" s="1"/>
      <c r="H172" s="1"/>
      <c r="I172" s="1"/>
      <c r="J172" s="377"/>
      <c r="K172" s="29"/>
      <c r="L172" s="378"/>
      <c r="M172" s="29"/>
      <c r="O172"/>
      <c r="P172"/>
      <c r="Q172"/>
    </row>
    <row r="173" spans="1:53" ht="15.45">
      <c r="E173" s="1"/>
      <c r="F173" s="1"/>
      <c r="G173" s="1"/>
      <c r="H173" s="1"/>
      <c r="I173" s="1"/>
      <c r="J173" s="377"/>
      <c r="K173" s="29"/>
      <c r="L173" s="378"/>
      <c r="M173" s="29"/>
      <c r="O173"/>
      <c r="P173"/>
      <c r="Q173"/>
    </row>
    <row r="174" spans="1:53" ht="15.45">
      <c r="E174" s="1"/>
      <c r="F174" s="1"/>
      <c r="G174" s="1"/>
      <c r="H174" s="1"/>
      <c r="I174" s="1"/>
      <c r="J174" s="377"/>
      <c r="K174" s="29"/>
      <c r="L174" s="382" t="s">
        <v>160</v>
      </c>
      <c r="M174" s="29"/>
      <c r="O174"/>
      <c r="P174"/>
      <c r="Q174"/>
    </row>
    <row r="175" spans="1:53" ht="15.45">
      <c r="E175" s="108">
        <v>2</v>
      </c>
      <c r="F175" s="109">
        <f>+NORMDIST(-$E175,0,1,TRUE)</f>
        <v>2.2750131948179191E-2</v>
      </c>
      <c r="G175" s="29"/>
      <c r="H175" s="109">
        <f>+NORMDIST(+$E175,0,1,TRUE)</f>
        <v>0.97724986805182079</v>
      </c>
      <c r="I175" s="109">
        <f>+H175-F175</f>
        <v>0.95449973610364158</v>
      </c>
      <c r="J175" s="377"/>
      <c r="K175" s="379" t="s">
        <v>158</v>
      </c>
      <c r="L175" s="380" t="s">
        <v>233</v>
      </c>
      <c r="M175" s="380" t="s">
        <v>161</v>
      </c>
      <c r="O175"/>
      <c r="P175"/>
      <c r="Q175"/>
    </row>
    <row r="176" spans="1:53" ht="15.45">
      <c r="E176" s="1"/>
      <c r="F176" s="1"/>
      <c r="G176" s="1"/>
      <c r="H176" s="1"/>
      <c r="I176" s="1"/>
      <c r="J176" s="377"/>
      <c r="K176" s="379" t="s">
        <v>159</v>
      </c>
      <c r="L176" s="380" t="s">
        <v>234</v>
      </c>
      <c r="M176" s="381"/>
      <c r="O176"/>
      <c r="P176"/>
      <c r="Q176"/>
    </row>
    <row r="177" spans="1:53" ht="15.45">
      <c r="E177" s="9" t="str">
        <f>+CONCATENATE("The budget is with ",ROUND(I175*100,0),"% probability between ",ROUND(F177*100,0)," to ",ROUND(H177*100,0)," % of the Mean values.")</f>
        <v>The budget is with 95% probability between 75 to 125 % of the Mean values.</v>
      </c>
      <c r="F177" s="109">
        <f>IFERROR((GrandTotal-$E$175*GrandTotal_StDev)/GrandTotal,0)</f>
        <v>0.75455466858017306</v>
      </c>
      <c r="H177" s="109">
        <f>IFERROR((GrandTotal+$E$175*GrandTotal_StDev)/GrandTotal,0)</f>
        <v>1.2454453314198271</v>
      </c>
      <c r="I177" s="1"/>
      <c r="O177"/>
      <c r="P177"/>
      <c r="Q177"/>
    </row>
    <row r="179" spans="1:53">
      <c r="A179" s="32"/>
      <c r="B179" s="32"/>
      <c r="C179" s="32"/>
      <c r="D179" s="32"/>
      <c r="E179" s="32"/>
      <c r="F179" s="32"/>
      <c r="G179" s="32"/>
      <c r="H179" s="33"/>
      <c r="I179" s="33"/>
      <c r="J179" s="196"/>
      <c r="K179" s="32"/>
      <c r="L179" s="35"/>
      <c r="M179" s="32"/>
      <c r="N179" s="36"/>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row>
    <row r="182" spans="1:53" ht="15.45">
      <c r="D182" s="110" t="s">
        <v>149</v>
      </c>
      <c r="E182" s="111">
        <f>UncertaintyShare_GeneralUncert</f>
        <v>0.75766040806155299</v>
      </c>
      <c r="F182" s="1"/>
      <c r="G182" s="136" t="str">
        <f>+CONCATENATE("P(",ROUND(D73*100,0),")")</f>
        <v>P(85)</v>
      </c>
      <c r="H182" s="1"/>
      <c r="I182" s="112" t="str">
        <f>+CONCATENATE("P(",ROUND(NORMDIST(Budget_NoStd,0,1,TRUE)*100,0),") ")</f>
        <v xml:space="preserve">P(85) </v>
      </c>
      <c r="J182" s="137" t="str">
        <f>+CONCATENATE(G182," Budget")</f>
        <v>P(85) Budget</v>
      </c>
      <c r="O182"/>
      <c r="P182"/>
      <c r="Q182"/>
    </row>
    <row r="183" spans="1:53" ht="15.45">
      <c r="D183" s="110" t="str">
        <f>+_xlfn.CONCAT("P(",C26,"):")</f>
        <v>P(Tasks):</v>
      </c>
      <c r="E183" s="111">
        <f>+UncertaintyShare_Tasks</f>
        <v>0.24233959193844709</v>
      </c>
      <c r="F183" s="1"/>
      <c r="G183" s="136" t="str">
        <f>+CONCATENATE("P(",ROUND(Data!$D$76*100,0),")")</f>
        <v>P(95)</v>
      </c>
      <c r="H183" s="1"/>
      <c r="I183" s="1"/>
      <c r="J183" s="137" t="str">
        <f>+CONCATENATE(G183," Budget")</f>
        <v>P(95) Budget</v>
      </c>
      <c r="M183" s="178"/>
      <c r="O183"/>
      <c r="P183"/>
      <c r="Q183"/>
    </row>
    <row r="184" spans="1:53" ht="15.45">
      <c r="D184" s="110"/>
      <c r="E184" s="111"/>
      <c r="F184" s="1"/>
      <c r="G184" s="136" t="s">
        <v>68</v>
      </c>
      <c r="H184" s="1"/>
      <c r="I184" s="1"/>
      <c r="J184" s="137" t="str">
        <f>+CONCATENATE(G184," Budget")</f>
        <v>P(50) Budget</v>
      </c>
      <c r="O184"/>
      <c r="P184"/>
      <c r="Q184"/>
    </row>
    <row r="185" spans="1:53" ht="15.45">
      <c r="D185" s="110"/>
      <c r="E185" s="111"/>
      <c r="F185" s="1"/>
      <c r="G185" s="136"/>
      <c r="H185" s="1"/>
      <c r="I185" s="1"/>
      <c r="J185" s="137"/>
      <c r="O185"/>
      <c r="P185"/>
      <c r="Q185"/>
    </row>
    <row r="186" spans="1:53" ht="15.45">
      <c r="D186" s="153" t="str">
        <f>$F$24</f>
        <v>Analyse Uncertainty=</v>
      </c>
      <c r="E186" s="254">
        <f>UncertaintyAnalysis</f>
        <v>0.12719386838943902</v>
      </c>
      <c r="F186" s="1"/>
      <c r="G186" s="136"/>
      <c r="H186" s="1"/>
      <c r="I186" s="1"/>
      <c r="J186" s="137"/>
      <c r="O186"/>
      <c r="P186"/>
      <c r="Q186"/>
    </row>
    <row r="187" spans="1:53" ht="15.45">
      <c r="D187" s="110"/>
      <c r="E187" s="111"/>
      <c r="F187" s="1"/>
      <c r="G187" s="1"/>
      <c r="H187" s="1"/>
      <c r="I187" s="1"/>
      <c r="O187"/>
      <c r="P187"/>
      <c r="Q187"/>
    </row>
    <row r="188" spans="1:53" ht="15.45">
      <c r="D188" s="110" t="s">
        <v>69</v>
      </c>
      <c r="E188" s="1" t="str">
        <f>+CONCATENATE($D$182,"      ",ROUND($E$182*100,1),"%",CHAR(10),$D$183,"     ",ROUND($E$183*100,1),"%")</f>
        <v>P(GU's):      75,8%
P(Tasks):     24,2%</v>
      </c>
      <c r="F188" s="1"/>
      <c r="G188" s="1"/>
      <c r="H188" s="1"/>
      <c r="I188" s="1"/>
      <c r="O188"/>
      <c r="P188"/>
      <c r="Q188"/>
    </row>
    <row r="189" spans="1:53" ht="15.45">
      <c r="D189" s="110" t="s">
        <v>63</v>
      </c>
      <c r="E189" s="1" t="str">
        <f>+D4</f>
        <v>Construction - Scoping phase</v>
      </c>
      <c r="F189" s="1"/>
      <c r="G189" s="1"/>
      <c r="H189" s="1"/>
      <c r="I189" s="1"/>
      <c r="O189"/>
      <c r="P189"/>
      <c r="Q189"/>
    </row>
    <row r="190" spans="1:53" ht="15.45">
      <c r="D190" s="110" t="s">
        <v>69</v>
      </c>
      <c r="E190" s="1" t="str">
        <f ca="1">MID(CELL("filename",A1),FIND("[",CELL("filename",A1))+1,FIND("]", CELL("filename",A1))-FIND("[",CELL("filename",A1))-1)</f>
        <v>early-quality-assuring-construction-project_2024-11-19a.xlsx</v>
      </c>
      <c r="F190" s="1"/>
      <c r="G190" s="1"/>
      <c r="H190" s="1"/>
      <c r="I190" s="1"/>
      <c r="O190"/>
      <c r="P190"/>
      <c r="Q190"/>
    </row>
    <row r="191" spans="1:53" ht="15.45">
      <c r="D191" s="9"/>
      <c r="E191" s="1"/>
      <c r="F191" s="1"/>
      <c r="G191" s="1"/>
      <c r="H191" s="1"/>
      <c r="I191" s="1"/>
      <c r="O191"/>
      <c r="P191"/>
      <c r="Q191"/>
    </row>
    <row r="192" spans="1:53" ht="15.45">
      <c r="D192" s="110" t="s">
        <v>69</v>
      </c>
      <c r="E192" s="1" t="str">
        <f>+CONCATENATE("RESULT: ",CHAR(10),E196," ",G196," ",I196," ",Units," &amp; GU's = ",TEXT(Mean_GUs,"#.###,0"))</f>
        <v>RESULT: 
Min= 342 Mean= 494 Max= 646 Min. &amp; GU's = 120,5</v>
      </c>
      <c r="F192" s="1"/>
      <c r="G192" s="1"/>
      <c r="H192" s="1"/>
      <c r="I192" s="1"/>
      <c r="O192"/>
      <c r="P192"/>
      <c r="Q192"/>
    </row>
    <row r="193" spans="1:53" ht="15.45">
      <c r="D193" s="110"/>
      <c r="E193" s="194">
        <f>+$D$68</f>
        <v>342.40998134885314</v>
      </c>
      <c r="F193" s="1"/>
      <c r="G193" s="194">
        <f>+$E$68</f>
        <v>493.96029029999994</v>
      </c>
      <c r="H193" s="1"/>
      <c r="I193" s="194">
        <f>+$F$68</f>
        <v>645.51059925114669</v>
      </c>
      <c r="O193"/>
      <c r="P193"/>
      <c r="Q193"/>
    </row>
    <row r="194" spans="1:53" ht="15.45">
      <c r="D194" s="110"/>
      <c r="E194" s="123">
        <f>+IF(ABS(E$193)&gt;=100,0,IF(ABS(E$193)&gt;=10,1,IF(ABS(E$193)&lt;=1,2,0)))</f>
        <v>0</v>
      </c>
      <c r="F194" s="1"/>
      <c r="G194" s="123">
        <f>+IF(ABS(G$193)&gt;=100,0,IF(ABS(G$193)&gt;=10,1,IF(ABS(G$193)&lt;=1,2,0)))</f>
        <v>0</v>
      </c>
      <c r="H194" s="1"/>
      <c r="I194" s="123">
        <f>+IF(ABS(I$193)&gt;=100,0,IF(ABS(I$193)&gt;=10,1,IF(ABS(I$193)&lt;=1,2,0)))</f>
        <v>0</v>
      </c>
      <c r="O194"/>
      <c r="P194"/>
      <c r="Q194"/>
    </row>
    <row r="195" spans="1:53" ht="15.45">
      <c r="D195" s="110"/>
      <c r="E195" s="123" t="str">
        <f>+IF(ABS(E$193)&gt;=100,"#.###",IF(ABS(E$193)&lt;=1,"#.###,#","#.###"))</f>
        <v>#.###</v>
      </c>
      <c r="F195" s="123"/>
      <c r="G195" s="123" t="str">
        <f>+IF(ABS(G$193)&gt;=100,"#.###",IF(ABS(G$193)&lt;=1,"#.###,#","#.###"))</f>
        <v>#.###</v>
      </c>
      <c r="H195" s="1"/>
      <c r="I195" s="123" t="str">
        <f>+IF(ABS(I$193)&gt;=100,"#.###",IF(ABS(I$193)&lt;=1,"#.###,#","#.###"))</f>
        <v>#.###</v>
      </c>
      <c r="O195"/>
      <c r="P195"/>
      <c r="Q195"/>
    </row>
    <row r="196" spans="1:53" ht="15.45">
      <c r="D196" s="1"/>
      <c r="E196" s="1" t="str">
        <f>+CONCATENATE($D$10,"= ",TEXT(ROUND(E193,E194),E195))</f>
        <v>Min= 342</v>
      </c>
      <c r="G196" s="1" t="str">
        <f>+CONCATENATE($H$10,"= ",TEXT(ROUND(G193,G194),G195))</f>
        <v>Mean= 494</v>
      </c>
      <c r="H196" s="1"/>
      <c r="I196" s="1" t="str">
        <f>+CONCATENATE($F$10,"= ",TEXT(ROUND(I193,I194),I195))</f>
        <v>Max= 646</v>
      </c>
      <c r="O196"/>
      <c r="P196"/>
      <c r="Q196"/>
    </row>
    <row r="197" spans="1:53" ht="15.45">
      <c r="D197" s="1"/>
      <c r="E197" s="1"/>
      <c r="G197" s="1"/>
      <c r="H197" s="1"/>
      <c r="I197" s="1"/>
      <c r="O197"/>
      <c r="P197"/>
      <c r="Q197"/>
    </row>
    <row r="198" spans="1:53" ht="15.45">
      <c r="D198" s="1"/>
      <c r="E198" s="136" t="str">
        <f>+_xlfn.CONCAT(D186," ",TEXT(E186*100,"00")," %")</f>
        <v>Analyse Uncertainty= 13 %</v>
      </c>
      <c r="G198" s="1"/>
      <c r="H198" s="1"/>
      <c r="I198" s="1"/>
      <c r="O198"/>
      <c r="P198"/>
      <c r="Q198"/>
    </row>
    <row r="199" spans="1:53">
      <c r="A199" s="32"/>
      <c r="B199" s="32"/>
      <c r="C199" s="32"/>
      <c r="D199" s="32"/>
      <c r="E199" s="32"/>
      <c r="F199" s="32"/>
      <c r="G199" s="32"/>
      <c r="H199" s="33"/>
      <c r="I199" s="33"/>
      <c r="J199" s="196"/>
      <c r="K199" s="32"/>
      <c r="L199" s="35"/>
      <c r="M199" s="32"/>
      <c r="N199" s="36"/>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row>
  </sheetData>
  <sheetProtection formatRows="0"/>
  <protectedRanges>
    <protectedRange sqref="C47" name="Tasks_Text"/>
    <protectedRange sqref="E25" name="Units"/>
    <protectedRange sqref="E4:H4" name="ProjectName"/>
    <protectedRange sqref="N47 H47:L47 D47:F47" name="Område1"/>
    <protectedRange sqref="BB11:BD22" name="Område2"/>
    <protectedRange sqref="N50:N51" name="Område3"/>
    <protectedRange sqref="N23" name="Område4"/>
    <protectedRange sqref="D48:F49" name="Område1_3"/>
    <protectedRange sqref="D51 F51" name="Område1_4"/>
    <protectedRange sqref="A22" name="OF_Text_1"/>
    <protectedRange sqref="A48:B49" name="OF_Text_3"/>
    <protectedRange sqref="A50:B50" name="Tasks_Text_2_1"/>
    <protectedRange sqref="N22" name="Område4_1"/>
    <protectedRange sqref="C48:C49" name="Tasks_Text_3"/>
    <protectedRange sqref="C50" name="Tasks_Text_2_2"/>
    <protectedRange sqref="J73" name="StDev_2"/>
    <protectedRange sqref="M76" name="StDev_2_1"/>
    <protectedRange sqref="D4" name="ProjectName_1_1"/>
    <protectedRange sqref="C22" name="OF_Text"/>
    <protectedRange sqref="A11:A21" name="OF_Text_1_3"/>
    <protectedRange sqref="C11:C21" name="OF_Text_6"/>
    <protectedRange sqref="N48:N49" name="Område3_4"/>
    <protectedRange sqref="D11:F22" name="Område1_2_1_1_1"/>
    <protectedRange sqref="B22" name="OF_Text_1_2"/>
    <protectedRange sqref="B11:B21" name="OF_Text_1_1_1"/>
    <protectedRange sqref="N11:N21" name="Område4_1_1"/>
    <protectedRange sqref="D33:F46" name="Område1_1"/>
    <protectedRange sqref="D27:F32" name="Område1_2_1"/>
    <protectedRange sqref="C33:C46" name="Tasks_Text_1_1_3"/>
    <protectedRange sqref="A27:B46" name="OF_Text_2_1"/>
    <protectedRange sqref="C27:C32" name="Tasks_Text_1_1_1_1"/>
    <protectedRange sqref="N28 N30:N46" name="Område3_1"/>
    <protectedRange sqref="N27 N29" name="Område3_1_1"/>
  </protectedRanges>
  <mergeCells count="1">
    <mergeCell ref="A2:C2"/>
  </mergeCells>
  <phoneticPr fontId="0" type="noConversion"/>
  <conditionalFormatting sqref="D48:D49">
    <cfRule type="cellIs" dxfId="92" priority="278" stopIfTrue="1" operator="greaterThan">
      <formula>+E48</formula>
    </cfRule>
  </conditionalFormatting>
  <conditionalFormatting sqref="D50:E50">
    <cfRule type="expression" dxfId="91" priority="316" stopIfTrue="1">
      <formula>ABS(D50)&lt;10</formula>
    </cfRule>
    <cfRule type="expression" dxfId="90" priority="317" stopIfTrue="1">
      <formula>ABS(D50)&lt;100</formula>
    </cfRule>
    <cfRule type="expression" dxfId="89" priority="318" stopIfTrue="1">
      <formula>ABS(D50)&gt;1000</formula>
    </cfRule>
  </conditionalFormatting>
  <conditionalFormatting sqref="E48:E49">
    <cfRule type="cellIs" dxfId="88" priority="279" stopIfTrue="1" operator="notBetween">
      <formula>+D48</formula>
      <formula>+F48</formula>
    </cfRule>
  </conditionalFormatting>
  <conditionalFormatting sqref="E50">
    <cfRule type="expression" dxfId="87" priority="322" stopIfTrue="1">
      <formula>ABS(E50)&lt;10</formula>
    </cfRule>
    <cfRule type="expression" dxfId="86" priority="323" stopIfTrue="1">
      <formula>ABS(E50)&lt;100</formula>
    </cfRule>
    <cfRule type="expression" dxfId="85" priority="324" stopIfTrue="1">
      <formula>ABS(E50)&gt;1000</formula>
    </cfRule>
  </conditionalFormatting>
  <conditionalFormatting sqref="F48:F49">
    <cfRule type="cellIs" dxfId="84" priority="277" stopIfTrue="1" operator="lessThan">
      <formula>+E48</formula>
    </cfRule>
  </conditionalFormatting>
  <conditionalFormatting sqref="F50">
    <cfRule type="expression" dxfId="83" priority="253" stopIfTrue="1">
      <formula>ABS(F50)&lt;10</formula>
    </cfRule>
    <cfRule type="expression" dxfId="82" priority="254" stopIfTrue="1">
      <formula>ABS(F50)&lt;100</formula>
    </cfRule>
    <cfRule type="expression" dxfId="81" priority="255" stopIfTrue="1">
      <formula>ABS(F50)&gt;1000</formula>
    </cfRule>
    <cfRule type="expression" dxfId="80" priority="256" stopIfTrue="1">
      <formula>ABS(F50)&lt;10</formula>
    </cfRule>
    <cfRule type="expression" dxfId="79" priority="257" stopIfTrue="1">
      <formula>ABS(F50)&lt;100</formula>
    </cfRule>
    <cfRule type="expression" dxfId="78" priority="258" stopIfTrue="1">
      <formula>ABS(F50)&gt;1000</formula>
    </cfRule>
  </conditionalFormatting>
  <conditionalFormatting sqref="H11:H22">
    <cfRule type="expression" dxfId="77" priority="291">
      <formula>H11&lt;0</formula>
    </cfRule>
    <cfRule type="expression" dxfId="76" priority="292">
      <formula>H11&gt;0</formula>
    </cfRule>
  </conditionalFormatting>
  <conditionalFormatting sqref="H48:H50">
    <cfRule type="expression" dxfId="75" priority="604" stopIfTrue="1">
      <formula>ABS(H48)&lt;10</formula>
    </cfRule>
    <cfRule type="expression" dxfId="74" priority="605" stopIfTrue="1">
      <formula>ABS(H48)&lt;100</formula>
    </cfRule>
    <cfRule type="expression" dxfId="73" priority="606" stopIfTrue="1">
      <formula>ABS(H48)&gt;1000</formula>
    </cfRule>
  </conditionalFormatting>
  <conditionalFormatting sqref="H48:I48">
    <cfRule type="expression" dxfId="72" priority="610" stopIfTrue="1">
      <formula>ABS(H48)&lt;10</formula>
    </cfRule>
    <cfRule type="expression" dxfId="71" priority="611" stopIfTrue="1">
      <formula>ABS(H48)&lt;100</formula>
    </cfRule>
    <cfRule type="expression" dxfId="70" priority="612" stopIfTrue="1">
      <formula>ABS(H48)&gt;1000</formula>
    </cfRule>
  </conditionalFormatting>
  <conditionalFormatting sqref="H49:I50">
    <cfRule type="expression" dxfId="69" priority="598" stopIfTrue="1">
      <formula>ABS(H49)&lt;10</formula>
    </cfRule>
    <cfRule type="expression" dxfId="68" priority="599" stopIfTrue="1">
      <formula>ABS(H49)&lt;100</formula>
    </cfRule>
    <cfRule type="expression" dxfId="67" priority="600" stopIfTrue="1">
      <formula>ABS(H49)&gt;1000</formula>
    </cfRule>
  </conditionalFormatting>
  <conditionalFormatting sqref="I8">
    <cfRule type="expression" dxfId="66" priority="217" stopIfTrue="1">
      <formula>ABS(I8)&lt;10</formula>
    </cfRule>
    <cfRule type="expression" dxfId="65" priority="218" stopIfTrue="1">
      <formula>ABS(I8)&lt;100</formula>
    </cfRule>
    <cfRule type="expression" dxfId="64" priority="219" stopIfTrue="1">
      <formula>ABS(I8)&gt;1000</formula>
    </cfRule>
    <cfRule type="expression" dxfId="63" priority="220" stopIfTrue="1">
      <formula>ABS(I8)&lt;10</formula>
    </cfRule>
    <cfRule type="expression" dxfId="62" priority="221" stopIfTrue="1">
      <formula>ABS(I8)&lt;100</formula>
    </cfRule>
    <cfRule type="expression" dxfId="61" priority="222" stopIfTrue="1">
      <formula>ABS(I8)&gt;1000</formula>
    </cfRule>
  </conditionalFormatting>
  <conditionalFormatting sqref="I27:I46">
    <cfRule type="expression" dxfId="60" priority="1551" stopIfTrue="1">
      <formula>ABS(I27)&lt;10</formula>
    </cfRule>
    <cfRule type="expression" dxfId="59" priority="1552" stopIfTrue="1">
      <formula>ABS(I27)&lt;100</formula>
    </cfRule>
    <cfRule type="expression" dxfId="58" priority="1553" stopIfTrue="1">
      <formula>ABS(I27)&gt;1000</formula>
    </cfRule>
    <cfRule type="expression" dxfId="57" priority="1557" stopIfTrue="1">
      <formula>ABS(I27)&lt;10</formula>
    </cfRule>
    <cfRule type="expression" dxfId="56" priority="1558" stopIfTrue="1">
      <formula>ABS(I27)&lt;100</formula>
    </cfRule>
    <cfRule type="expression" dxfId="55" priority="1559" stopIfTrue="1">
      <formula>ABS(I27)&gt;1000</formula>
    </cfRule>
  </conditionalFormatting>
  <conditionalFormatting sqref="I48">
    <cfRule type="expression" dxfId="54" priority="616" stopIfTrue="1">
      <formula>ABS(I48)&lt;10</formula>
    </cfRule>
    <cfRule type="expression" dxfId="53" priority="617" stopIfTrue="1">
      <formula>ABS(I48)&lt;100</formula>
    </cfRule>
    <cfRule type="expression" dxfId="52" priority="618" stopIfTrue="1">
      <formula>ABS(I48)&gt;1000</formula>
    </cfRule>
  </conditionalFormatting>
  <conditionalFormatting sqref="I49:I50">
    <cfRule type="expression" dxfId="51" priority="331" stopIfTrue="1">
      <formula>ABS(I49)&lt;10</formula>
    </cfRule>
    <cfRule type="expression" dxfId="50" priority="332" stopIfTrue="1">
      <formula>ABS(I49)&lt;100</formula>
    </cfRule>
    <cfRule type="expression" dxfId="49" priority="333" stopIfTrue="1">
      <formula>ABS(I49)&gt;1000</formula>
    </cfRule>
  </conditionalFormatting>
  <conditionalFormatting sqref="J68">
    <cfRule type="expression" dxfId="48" priority="1093" stopIfTrue="1">
      <formula>ABS(J68)&lt;10</formula>
    </cfRule>
    <cfRule type="expression" dxfId="47" priority="1094" stopIfTrue="1">
      <formula>ABS(J68)&lt;100</formula>
    </cfRule>
    <cfRule type="expression" dxfId="46" priority="1095" stopIfTrue="1">
      <formula>ABS(J68)&gt;1000</formula>
    </cfRule>
  </conditionalFormatting>
  <conditionalFormatting sqref="J68:K68">
    <cfRule type="expression" dxfId="45" priority="1087" stopIfTrue="1">
      <formula>ABS(J68)&lt;10</formula>
    </cfRule>
    <cfRule type="expression" dxfId="44" priority="1088" stopIfTrue="1">
      <formula>ABS(J68)&lt;100</formula>
    </cfRule>
    <cfRule type="expression" dxfId="43" priority="1089" stopIfTrue="1">
      <formula>ABS(J68)&gt;1000</formula>
    </cfRule>
  </conditionalFormatting>
  <conditionalFormatting sqref="K11:K23 D50">
    <cfRule type="expression" dxfId="42" priority="313" stopIfTrue="1">
      <formula>ABS(D11)&lt;10</formula>
    </cfRule>
    <cfRule type="expression" dxfId="41" priority="314" stopIfTrue="1">
      <formula>ABS(D11)&lt;100</formula>
    </cfRule>
    <cfRule type="expression" dxfId="40" priority="315" stopIfTrue="1">
      <formula>ABS(D11)&gt;1000</formula>
    </cfRule>
  </conditionalFormatting>
  <conditionalFormatting sqref="K11:K23">
    <cfRule type="expression" dxfId="39" priority="1404" stopIfTrue="1">
      <formula>ABS(K11)&lt;10</formula>
    </cfRule>
    <cfRule type="expression" dxfId="38" priority="1405" stopIfTrue="1">
      <formula>ABS(K11)&lt;100</formula>
    </cfRule>
    <cfRule type="expression" dxfId="37" priority="1406" stopIfTrue="1">
      <formula>ABS(K11)&gt;1000</formula>
    </cfRule>
  </conditionalFormatting>
  <conditionalFormatting sqref="K27:K46">
    <cfRule type="expression" dxfId="36" priority="1542" stopIfTrue="1">
      <formula>ABS(K27)&lt;10</formula>
    </cfRule>
    <cfRule type="expression" dxfId="35" priority="1543" stopIfTrue="1">
      <formula>ABS(K27)&lt;100</formula>
    </cfRule>
    <cfRule type="expression" dxfId="34" priority="1544" stopIfTrue="1">
      <formula>ABS(K27)&gt;1000</formula>
    </cfRule>
    <cfRule type="expression" dxfId="33" priority="1545" stopIfTrue="1">
      <formula>ABS(K27)&lt;10</formula>
    </cfRule>
    <cfRule type="expression" dxfId="32" priority="1546" stopIfTrue="1">
      <formula>ABS(K27)&lt;100</formula>
    </cfRule>
    <cfRule type="expression" dxfId="31" priority="1547" stopIfTrue="1">
      <formula>ABS(K27)&gt;1000</formula>
    </cfRule>
  </conditionalFormatting>
  <conditionalFormatting sqref="K49:K50">
    <cfRule type="expression" dxfId="30" priority="628" stopIfTrue="1">
      <formula>ABS(K49)&lt;10</formula>
    </cfRule>
    <cfRule type="expression" dxfId="29" priority="629" stopIfTrue="1">
      <formula>ABS(K49)&lt;100</formula>
    </cfRule>
    <cfRule type="expression" dxfId="28" priority="630" stopIfTrue="1">
      <formula>ABS(K49)&gt;1000</formula>
    </cfRule>
  </conditionalFormatting>
  <conditionalFormatting sqref="K52">
    <cfRule type="expression" dxfId="27" priority="1690" stopIfTrue="1">
      <formula>ABS(K52)&lt;10</formula>
    </cfRule>
    <cfRule type="expression" dxfId="26" priority="1691" stopIfTrue="1">
      <formula>ABS(K52)&lt;100</formula>
    </cfRule>
    <cfRule type="expression" dxfId="25" priority="1692" stopIfTrue="1">
      <formula>ABS(K52)&gt;1000</formula>
    </cfRule>
  </conditionalFormatting>
  <conditionalFormatting sqref="K68">
    <cfRule type="expression" dxfId="24" priority="1084" stopIfTrue="1">
      <formula>ABS(K68)&lt;10</formula>
    </cfRule>
    <cfRule type="expression" dxfId="23" priority="1085" stopIfTrue="1">
      <formula>ABS(K68)&lt;100</formula>
    </cfRule>
    <cfRule type="expression" dxfId="22" priority="1086" stopIfTrue="1">
      <formula>ABS(K68)&gt;1000</formula>
    </cfRule>
  </conditionalFormatting>
  <conditionalFormatting sqref="K48:L48">
    <cfRule type="expression" dxfId="21" priority="619" stopIfTrue="1">
      <formula>ABS(K48)&lt;10</formula>
    </cfRule>
    <cfRule type="expression" dxfId="20" priority="620" stopIfTrue="1">
      <formula>ABS(K48)&lt;100</formula>
    </cfRule>
    <cfRule type="expression" dxfId="19" priority="621" stopIfTrue="1">
      <formula>ABS(K48)&gt;1000</formula>
    </cfRule>
  </conditionalFormatting>
  <conditionalFormatting sqref="K48:L49">
    <cfRule type="expression" dxfId="18" priority="622" stopIfTrue="1">
      <formula>ABS(K48)&lt;10</formula>
    </cfRule>
    <cfRule type="expression" dxfId="17" priority="623" stopIfTrue="1">
      <formula>ABS(K48)&lt;100</formula>
    </cfRule>
    <cfRule type="expression" dxfId="16" priority="624" stopIfTrue="1">
      <formula>ABS(K48)&gt;1000</formula>
    </cfRule>
  </conditionalFormatting>
  <conditionalFormatting sqref="L11:L23 L27:L46 L50 L52">
    <cfRule type="expression" dxfId="15" priority="1999" stopIfTrue="1">
      <formula>L11&lt;$O$7</formula>
    </cfRule>
    <cfRule type="expression" dxfId="14" priority="2000" stopIfTrue="1">
      <formula>L11&gt;=$O$5</formula>
    </cfRule>
    <cfRule type="expression" dxfId="13" priority="2001" stopIfTrue="1">
      <formula>L11&gt;=$O$6</formula>
    </cfRule>
    <cfRule type="expression" dxfId="12" priority="2002" stopIfTrue="1">
      <formula>L11&gt;=$O$7</formula>
    </cfRule>
  </conditionalFormatting>
  <conditionalFormatting sqref="L49">
    <cfRule type="expression" dxfId="11" priority="1440" stopIfTrue="1">
      <formula>ABS(L49)&lt;10</formula>
    </cfRule>
    <cfRule type="expression" dxfId="10" priority="1441" stopIfTrue="1">
      <formula>ABS(L49)&lt;100</formula>
    </cfRule>
    <cfRule type="expression" dxfId="9" priority="1442" stopIfTrue="1">
      <formula>ABS(L49)&gt;1000</formula>
    </cfRule>
  </conditionalFormatting>
  <conditionalFormatting sqref="BF12:BF22">
    <cfRule type="expression" dxfId="8" priority="250" stopIfTrue="1">
      <formula>ABS(BF12)&lt;10</formula>
    </cfRule>
    <cfRule type="expression" dxfId="7" priority="251" stopIfTrue="1">
      <formula>ABS(BF12)&lt;100</formula>
    </cfRule>
    <cfRule type="expression" dxfId="6" priority="252" stopIfTrue="1">
      <formula>ABS(BF12)&gt;1000</formula>
    </cfRule>
  </conditionalFormatting>
  <conditionalFormatting sqref="BF12:BF23">
    <cfRule type="expression" dxfId="5" priority="244" stopIfTrue="1">
      <formula>ABS(BF12)&lt;10</formula>
    </cfRule>
    <cfRule type="expression" dxfId="4" priority="245" stopIfTrue="1">
      <formula>ABS(BF12)&lt;100</formula>
    </cfRule>
    <cfRule type="expression" dxfId="3" priority="246" stopIfTrue="1">
      <formula>ABS(BF12)&gt;1000</formula>
    </cfRule>
  </conditionalFormatting>
  <conditionalFormatting sqref="BF23">
    <cfRule type="expression" dxfId="2" priority="241" stopIfTrue="1">
      <formula>ABS(BF23)&lt;10</formula>
    </cfRule>
    <cfRule type="expression" dxfId="1" priority="242" stopIfTrue="1">
      <formula>ABS(BF23)&lt;100</formula>
    </cfRule>
    <cfRule type="expression" dxfId="0" priority="243" stopIfTrue="1">
      <formula>ABS(BF23)&gt;1000</formula>
    </cfRule>
  </conditionalFormatting>
  <dataValidations count="5">
    <dataValidation type="decimal" allowBlank="1" showInputMessage="1" showErrorMessage="1" error="Please try again_x000a_Must bi in range of -3,0 to +3,0" sqref="J73 M76" xr:uid="{BE5F562B-DEA6-401A-AC6E-06A33DCF6D8B}">
      <formula1>StdvMin</formula1>
      <formula2>StdvMax</formula2>
    </dataValidation>
    <dataValidation type="decimal" allowBlank="1" showInputMessage="1" showErrorMessage="1" error="Must be between 0 and 100%_x000a_   0%: Not critical at all_x000a_  50%: Medium critical_x000a_100%: Full criticality" sqref="J50 J11:J22 J27:J46" xr:uid="{00000000-0002-0000-0100-000004000000}">
      <formula1>0</formula1>
      <formula2>1</formula2>
    </dataValidation>
    <dataValidation allowBlank="1" showInputMessage="1" showErrorMessage="1" error="0 - 200%" sqref="BB11:BD22" xr:uid="{D4C043F1-EDCD-4145-B023-03E3B5EBB165}"/>
    <dataValidation type="whole" allowBlank="1" showInputMessage="1" showErrorMessage="1" error="0: TF excluded_x000a_1: TF included" sqref="M69" xr:uid="{C7340356-4E57-408B-A86A-EC58F2E7F60E}">
      <formula1>0</formula1>
      <formula2>1</formula2>
    </dataValidation>
    <dataValidation type="list" allowBlank="1" showInputMessage="1" showErrorMessage="1" sqref="M93" xr:uid="{DC144942-E290-4820-9D53-2F9531B4BCBD}">
      <formula1>$BJ$2:$BM$2</formula1>
    </dataValidation>
  </dataValidations>
  <pageMargins left="0.59055118110236227" right="0.23622047244094491" top="0.78740157480314965" bottom="0.6692913385826772" header="0.35433070866141736" footer="0.27559055118110237"/>
  <pageSetup paperSize="9" scale="55" orientation="landscape" horizontalDpi="4294967293" verticalDpi="96" r:id="rId1"/>
  <headerFooter alignWithMargins="0">
    <oddHeader>&amp;LProject Management&amp;CRobust Estimations&amp;R&amp;G</oddHeader>
    <oddFooter>&amp;LDate: &amp;D
File: &amp;F&amp;C&amp;A&amp;RSide &amp;P/&amp;N</oddFooter>
  </headerFooter>
  <rowBreaks count="2" manualBreakCount="2">
    <brk id="54" max="13" man="1"/>
    <brk id="121" max="13" man="1"/>
  </rowBreaks>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CF912-4716-4AA4-BB59-313734D07DFE}">
  <sheetPr codeName="Sheet3">
    <tabColor rgb="FF92D050"/>
  </sheetPr>
  <dimension ref="A1:W77"/>
  <sheetViews>
    <sheetView zoomScale="75" zoomScaleNormal="75" workbookViewId="0">
      <pane ySplit="4" topLeftCell="A35" activePane="bottomLeft" state="frozen"/>
      <selection pane="bottomLeft" activeCell="F58" sqref="F58"/>
    </sheetView>
  </sheetViews>
  <sheetFormatPr defaultColWidth="8.84375" defaultRowHeight="14.6"/>
  <cols>
    <col min="1" max="1" width="7.921875" style="274" customWidth="1"/>
    <col min="2" max="2" width="4.07421875" style="274" customWidth="1"/>
    <col min="3" max="3" width="7.765625" style="274" customWidth="1"/>
    <col min="4" max="4" width="4.3046875" style="274" customWidth="1"/>
    <col min="5" max="6" width="8.84375" style="274"/>
    <col min="7" max="7" width="8.23046875" style="274" bestFit="1" customWidth="1"/>
    <col min="8" max="11" width="8.84375" style="274"/>
    <col min="12" max="12" width="7.84375" style="274" customWidth="1"/>
    <col min="13" max="13" width="8.84375" style="274"/>
    <col min="14" max="14" width="6.4609375" style="274" customWidth="1"/>
    <col min="15" max="16" width="8.84375" style="274"/>
    <col min="17" max="17" width="8.07421875" style="274" customWidth="1"/>
    <col min="18" max="19" width="8.84375" style="284"/>
    <col min="20" max="16384" width="8.84375" style="274"/>
  </cols>
  <sheetData>
    <row r="1" spans="1:23" ht="16.75">
      <c r="A1" s="273" t="s">
        <v>84</v>
      </c>
      <c r="E1" s="275" t="s">
        <v>86</v>
      </c>
      <c r="F1" s="276"/>
      <c r="G1" s="276"/>
      <c r="H1" s="276"/>
      <c r="I1" s="276"/>
      <c r="J1" s="276"/>
      <c r="K1" s="277"/>
      <c r="L1" s="276"/>
      <c r="M1" s="276"/>
      <c r="N1" s="276"/>
      <c r="O1" s="276"/>
      <c r="P1" s="276"/>
      <c r="Q1" s="276"/>
      <c r="R1" s="276"/>
      <c r="S1" s="276"/>
      <c r="T1" s="278"/>
      <c r="U1" s="278"/>
      <c r="V1" s="276"/>
      <c r="W1" s="276"/>
    </row>
    <row r="2" spans="1:23">
      <c r="A2" s="274" t="s">
        <v>85</v>
      </c>
      <c r="F2" s="280"/>
      <c r="R2" s="274"/>
      <c r="S2" s="274"/>
      <c r="T2" s="283" t="s">
        <v>88</v>
      </c>
      <c r="U2" s="284"/>
    </row>
    <row r="3" spans="1:23">
      <c r="A3" s="296" t="str">
        <f>Data!$C$26</f>
        <v>Tasks</v>
      </c>
      <c r="E3" s="285">
        <v>4</v>
      </c>
      <c r="F3" s="285">
        <v>1</v>
      </c>
      <c r="G3" s="285">
        <v>3</v>
      </c>
      <c r="H3" s="285">
        <v>2</v>
      </c>
      <c r="I3" s="284"/>
      <c r="R3" s="274"/>
      <c r="S3" s="274"/>
      <c r="T3" s="284">
        <f>+MAX(E3:H3)</f>
        <v>4</v>
      </c>
      <c r="U3" s="286" t="s">
        <v>89</v>
      </c>
    </row>
    <row r="4" spans="1:23" ht="15.45">
      <c r="A4" s="287" t="s">
        <v>90</v>
      </c>
      <c r="C4" s="288" t="s">
        <v>93</v>
      </c>
      <c r="D4" s="288"/>
      <c r="E4" s="333" t="s">
        <v>2</v>
      </c>
      <c r="F4" s="333" t="s">
        <v>0</v>
      </c>
      <c r="G4" s="333" t="s">
        <v>91</v>
      </c>
      <c r="H4" s="333" t="s">
        <v>1</v>
      </c>
      <c r="I4" s="288"/>
      <c r="J4" s="288" t="s">
        <v>94</v>
      </c>
      <c r="K4" s="288" t="s">
        <v>95</v>
      </c>
      <c r="L4" s="288" t="s">
        <v>96</v>
      </c>
      <c r="M4" s="288" t="s">
        <v>97</v>
      </c>
      <c r="N4" s="288"/>
      <c r="O4" s="288" t="s">
        <v>95</v>
      </c>
      <c r="P4" s="288" t="s">
        <v>98</v>
      </c>
      <c r="Q4" s="288" t="s">
        <v>97</v>
      </c>
      <c r="R4" s="288" t="s">
        <v>99</v>
      </c>
      <c r="S4" s="274"/>
      <c r="T4" s="288" t="s">
        <v>36</v>
      </c>
      <c r="U4" s="288" t="s">
        <v>100</v>
      </c>
      <c r="W4" s="288" t="s">
        <v>101</v>
      </c>
    </row>
    <row r="5" spans="1:23" s="290" customFormat="1">
      <c r="A5" s="335">
        <f>Data!A27</f>
        <v>11</v>
      </c>
      <c r="C5" s="291">
        <f>+IF(Data!$H27&lt;0,$G$50,IF(Data!$H27=0,100%,$G$51))</f>
        <v>1</v>
      </c>
      <c r="E5" s="292">
        <f>+Data!$B27*Data!H27*IF(TF_Include=1,$C5,100%)</f>
        <v>14</v>
      </c>
      <c r="F5" s="292">
        <f>+Data!$B27*Data!D27*IF(TF_Include=1,$C5,100%)</f>
        <v>5</v>
      </c>
      <c r="G5" s="292">
        <f>+Data!$B27*Data!E27*IF(TF_Include=1,$C5,100%)</f>
        <v>10</v>
      </c>
      <c r="H5" s="292">
        <f>+Data!$B27*Data!F27*IF(TF_Include=1,$C5,100%)</f>
        <v>35</v>
      </c>
      <c r="I5" s="293" t="str">
        <f t="shared" ref="I5:I27" si="0">+_xlfn.CONCAT($A5,".a")</f>
        <v>11.a</v>
      </c>
      <c r="J5" s="292">
        <f t="shared" ref="J5:K25" si="1">+$E5</f>
        <v>14</v>
      </c>
      <c r="K5" s="292">
        <f t="shared" si="1"/>
        <v>14</v>
      </c>
      <c r="L5" s="292">
        <f t="shared" ref="L5:L27" si="2">+$F5</f>
        <v>5</v>
      </c>
      <c r="M5" s="292">
        <f t="shared" ref="M5:M27" si="3">+$G5</f>
        <v>10</v>
      </c>
      <c r="N5" s="293" t="str">
        <f t="shared" ref="N5:N27" si="4">+_xlfn.CONCAT($A5,".b")</f>
        <v>11.b</v>
      </c>
      <c r="O5" s="292">
        <f t="shared" ref="O5:P25" si="5">+$E5</f>
        <v>14</v>
      </c>
      <c r="P5" s="292">
        <f t="shared" si="5"/>
        <v>14</v>
      </c>
      <c r="Q5" s="292">
        <f t="shared" ref="Q5:Q27" si="6">+$G5</f>
        <v>10</v>
      </c>
      <c r="R5" s="292">
        <f t="shared" ref="R5:R27" si="7">+$H5</f>
        <v>35</v>
      </c>
      <c r="T5" s="279">
        <v>1</v>
      </c>
      <c r="U5" s="294">
        <f>+T3+1</f>
        <v>5</v>
      </c>
      <c r="V5" s="279">
        <f>+U5+1</f>
        <v>6</v>
      </c>
      <c r="W5" s="279" t="str">
        <f>+_xlfn.CONCAT(U5," &amp; ",V5)</f>
        <v>5 &amp; 6</v>
      </c>
    </row>
    <row r="6" spans="1:23" s="290" customFormat="1">
      <c r="A6" s="335">
        <f>Data!A28</f>
        <v>12</v>
      </c>
      <c r="C6" s="291">
        <f>+IF(Data!$H28&lt;0,$G$50,IF(Data!$H28=0,100%,$G$51))</f>
        <v>1</v>
      </c>
      <c r="E6" s="292">
        <f>+Data!$B28*Data!H28*IF(TF_Include=1,$C6,100%)</f>
        <v>33</v>
      </c>
      <c r="F6" s="292">
        <f>+Data!$B28*Data!D28*IF(TF_Include=1,$C6,100%)</f>
        <v>25</v>
      </c>
      <c r="G6" s="292">
        <f>+Data!$B28*Data!E28*IF(TF_Include=1,$C6,100%)</f>
        <v>30</v>
      </c>
      <c r="H6" s="292">
        <f>+Data!$B28*Data!F28*IF(TF_Include=1,$C6,100%)</f>
        <v>50</v>
      </c>
      <c r="I6" s="293" t="str">
        <f t="shared" si="0"/>
        <v>12.a</v>
      </c>
      <c r="J6" s="292">
        <f t="shared" si="1"/>
        <v>33</v>
      </c>
      <c r="K6" s="292">
        <f t="shared" si="1"/>
        <v>33</v>
      </c>
      <c r="L6" s="292">
        <f t="shared" si="2"/>
        <v>25</v>
      </c>
      <c r="M6" s="292">
        <f t="shared" si="3"/>
        <v>30</v>
      </c>
      <c r="N6" s="293" t="str">
        <f t="shared" si="4"/>
        <v>12.b</v>
      </c>
      <c r="O6" s="292">
        <f t="shared" si="5"/>
        <v>33</v>
      </c>
      <c r="P6" s="292">
        <f t="shared" si="5"/>
        <v>33</v>
      </c>
      <c r="Q6" s="292">
        <f t="shared" si="6"/>
        <v>30</v>
      </c>
      <c r="R6" s="292">
        <f t="shared" si="7"/>
        <v>50</v>
      </c>
      <c r="T6" s="279">
        <f>+T5+1</f>
        <v>2</v>
      </c>
      <c r="U6" s="279">
        <f>+U5+2</f>
        <v>7</v>
      </c>
      <c r="V6" s="279">
        <f>+U6+1</f>
        <v>8</v>
      </c>
      <c r="W6" s="279" t="str">
        <f t="shared" ref="W6:W17" si="8">+_xlfn.CONCAT(U6," &amp; ",V6)</f>
        <v>7 &amp; 8</v>
      </c>
    </row>
    <row r="7" spans="1:23" s="290" customFormat="1">
      <c r="A7" s="335">
        <f>Data!A29</f>
        <v>13</v>
      </c>
      <c r="C7" s="291">
        <f>+IF(Data!$H29&lt;0,$G$50,IF(Data!$H29=0,100%,$G$51))</f>
        <v>1</v>
      </c>
      <c r="E7" s="292">
        <f>+Data!$B29*Data!H29*IF(TF_Include=1,$C7,100%)</f>
        <v>105</v>
      </c>
      <c r="F7" s="292">
        <f>+Data!$B29*Data!D29*IF(TF_Include=1,$C7,100%)</f>
        <v>75</v>
      </c>
      <c r="G7" s="292">
        <f>+Data!$B29*Data!E29*IF(TF_Include=1,$C7,100%)</f>
        <v>100</v>
      </c>
      <c r="H7" s="292">
        <f>+Data!$B29*Data!F29*IF(TF_Include=1,$C7,100%)</f>
        <v>150</v>
      </c>
      <c r="I7" s="293" t="str">
        <f t="shared" si="0"/>
        <v>13.a</v>
      </c>
      <c r="J7" s="292">
        <f t="shared" si="1"/>
        <v>105</v>
      </c>
      <c r="K7" s="292">
        <f t="shared" si="1"/>
        <v>105</v>
      </c>
      <c r="L7" s="292">
        <f t="shared" si="2"/>
        <v>75</v>
      </c>
      <c r="M7" s="292">
        <f t="shared" si="3"/>
        <v>100</v>
      </c>
      <c r="N7" s="293" t="str">
        <f t="shared" si="4"/>
        <v>13.b</v>
      </c>
      <c r="O7" s="292">
        <f t="shared" si="5"/>
        <v>105</v>
      </c>
      <c r="P7" s="292">
        <f t="shared" si="5"/>
        <v>105</v>
      </c>
      <c r="Q7" s="292">
        <f t="shared" si="6"/>
        <v>100</v>
      </c>
      <c r="R7" s="292">
        <f t="shared" si="7"/>
        <v>150</v>
      </c>
      <c r="T7" s="279">
        <f t="shared" ref="T7:T27" si="9">+T6+1</f>
        <v>3</v>
      </c>
      <c r="U7" s="279">
        <f t="shared" ref="U7:U27" si="10">+U6+2</f>
        <v>9</v>
      </c>
      <c r="V7" s="279">
        <f t="shared" ref="V7:V17" si="11">+U7+1</f>
        <v>10</v>
      </c>
      <c r="W7" s="279" t="str">
        <f t="shared" si="8"/>
        <v>9 &amp; 10</v>
      </c>
    </row>
    <row r="8" spans="1:23" s="290" customFormat="1">
      <c r="A8" s="335">
        <f>Data!A30</f>
        <v>14</v>
      </c>
      <c r="C8" s="291">
        <f>+IF(Data!$H30&lt;0,$G$50,IF(Data!$H30=0,100%,$G$51))</f>
        <v>1</v>
      </c>
      <c r="E8" s="292">
        <f>+Data!$B30*Data!H30*IF(TF_Include=1,$C8,100%)</f>
        <v>10.199999999999999</v>
      </c>
      <c r="F8" s="292">
        <f>+Data!$B30*Data!D30*IF(TF_Include=1,$C8,100%)</f>
        <v>6</v>
      </c>
      <c r="G8" s="292">
        <f>+Data!$B30*Data!E30*IF(TF_Include=1,$C8,100%)</f>
        <v>10</v>
      </c>
      <c r="H8" s="292">
        <f>+Data!$B30*Data!F30*IF(TF_Include=1,$C8,100%)</f>
        <v>15</v>
      </c>
      <c r="I8" s="293" t="str">
        <f t="shared" si="0"/>
        <v>14.a</v>
      </c>
      <c r="J8" s="292">
        <f t="shared" si="1"/>
        <v>10.199999999999999</v>
      </c>
      <c r="K8" s="292">
        <f t="shared" si="1"/>
        <v>10.199999999999999</v>
      </c>
      <c r="L8" s="292">
        <f t="shared" si="2"/>
        <v>6</v>
      </c>
      <c r="M8" s="292">
        <f t="shared" si="3"/>
        <v>10</v>
      </c>
      <c r="N8" s="293" t="str">
        <f t="shared" si="4"/>
        <v>14.b</v>
      </c>
      <c r="O8" s="292">
        <f t="shared" si="5"/>
        <v>10.199999999999999</v>
      </c>
      <c r="P8" s="292">
        <f t="shared" si="5"/>
        <v>10.199999999999999</v>
      </c>
      <c r="Q8" s="292">
        <f t="shared" si="6"/>
        <v>10</v>
      </c>
      <c r="R8" s="292">
        <f t="shared" si="7"/>
        <v>15</v>
      </c>
      <c r="T8" s="279">
        <f t="shared" si="9"/>
        <v>4</v>
      </c>
      <c r="U8" s="279">
        <f t="shared" si="10"/>
        <v>11</v>
      </c>
      <c r="V8" s="279">
        <f t="shared" si="11"/>
        <v>12</v>
      </c>
      <c r="W8" s="279" t="str">
        <f t="shared" si="8"/>
        <v>11 &amp; 12</v>
      </c>
    </row>
    <row r="9" spans="1:23" s="290" customFormat="1">
      <c r="A9" s="335">
        <f>Data!A31</f>
        <v>15</v>
      </c>
      <c r="C9" s="291">
        <f>+IF(Data!$H31&lt;0,$G$50,IF(Data!$H31=0,100%,$G$51))</f>
        <v>1</v>
      </c>
      <c r="E9" s="292">
        <f>+Data!$B31*Data!H31*IF(TF_Include=1,$C9,100%)</f>
        <v>49</v>
      </c>
      <c r="F9" s="292">
        <f>+Data!$B31*Data!D31*IF(TF_Include=1,$C9,100%)</f>
        <v>10</v>
      </c>
      <c r="G9" s="292">
        <f>+Data!$B31*Data!E31*IF(TF_Include=1,$C9,100%)</f>
        <v>45</v>
      </c>
      <c r="H9" s="292">
        <f>+Data!$B31*Data!F31*IF(TF_Include=1,$C9,100%)</f>
        <v>100</v>
      </c>
      <c r="I9" s="293" t="str">
        <f t="shared" si="0"/>
        <v>15.a</v>
      </c>
      <c r="J9" s="292">
        <f t="shared" si="1"/>
        <v>49</v>
      </c>
      <c r="K9" s="292">
        <f t="shared" si="1"/>
        <v>49</v>
      </c>
      <c r="L9" s="292">
        <f t="shared" si="2"/>
        <v>10</v>
      </c>
      <c r="M9" s="292">
        <f t="shared" si="3"/>
        <v>45</v>
      </c>
      <c r="N9" s="293" t="str">
        <f t="shared" si="4"/>
        <v>15.b</v>
      </c>
      <c r="O9" s="292">
        <f t="shared" si="5"/>
        <v>49</v>
      </c>
      <c r="P9" s="292">
        <f t="shared" si="5"/>
        <v>49</v>
      </c>
      <c r="Q9" s="292">
        <f t="shared" si="6"/>
        <v>45</v>
      </c>
      <c r="R9" s="292">
        <f t="shared" si="7"/>
        <v>100</v>
      </c>
      <c r="T9" s="279">
        <f t="shared" si="9"/>
        <v>5</v>
      </c>
      <c r="U9" s="279">
        <f t="shared" si="10"/>
        <v>13</v>
      </c>
      <c r="V9" s="279">
        <f t="shared" si="11"/>
        <v>14</v>
      </c>
      <c r="W9" s="279" t="str">
        <f t="shared" si="8"/>
        <v>13 &amp; 14</v>
      </c>
    </row>
    <row r="10" spans="1:23" s="290" customFormat="1">
      <c r="A10" s="335">
        <f>Data!A32</f>
        <v>16</v>
      </c>
      <c r="C10" s="291">
        <f>+IF(Data!$H32&lt;0,$G$50,IF(Data!$H32=0,100%,$G$51))</f>
        <v>1</v>
      </c>
      <c r="E10" s="292">
        <f>+Data!$B32*Data!H32*IF(TF_Include=1,$C10,100%)</f>
        <v>40</v>
      </c>
      <c r="F10" s="292">
        <f>+Data!$B32*Data!D32*IF(TF_Include=1,$C10,100%)</f>
        <v>20</v>
      </c>
      <c r="G10" s="292">
        <f>+Data!$B32*Data!E32*IF(TF_Include=1,$C10,100%)</f>
        <v>35</v>
      </c>
      <c r="H10" s="292">
        <f>+Data!$B32*Data!F32*IF(TF_Include=1,$C10,100%)</f>
        <v>75</v>
      </c>
      <c r="I10" s="293" t="str">
        <f t="shared" si="0"/>
        <v>16.a</v>
      </c>
      <c r="J10" s="292">
        <f t="shared" si="1"/>
        <v>40</v>
      </c>
      <c r="K10" s="292">
        <f t="shared" si="1"/>
        <v>40</v>
      </c>
      <c r="L10" s="292">
        <f t="shared" si="2"/>
        <v>20</v>
      </c>
      <c r="M10" s="292">
        <f t="shared" si="3"/>
        <v>35</v>
      </c>
      <c r="N10" s="293" t="str">
        <f t="shared" si="4"/>
        <v>16.b</v>
      </c>
      <c r="O10" s="292">
        <f t="shared" si="5"/>
        <v>40</v>
      </c>
      <c r="P10" s="292">
        <f t="shared" si="5"/>
        <v>40</v>
      </c>
      <c r="Q10" s="292">
        <f t="shared" si="6"/>
        <v>35</v>
      </c>
      <c r="R10" s="292">
        <f t="shared" si="7"/>
        <v>75</v>
      </c>
      <c r="T10" s="279">
        <f t="shared" si="9"/>
        <v>6</v>
      </c>
      <c r="U10" s="279">
        <f t="shared" si="10"/>
        <v>15</v>
      </c>
      <c r="V10" s="279">
        <f t="shared" si="11"/>
        <v>16</v>
      </c>
      <c r="W10" s="279" t="str">
        <f t="shared" si="8"/>
        <v>15 &amp; 16</v>
      </c>
    </row>
    <row r="11" spans="1:23" s="290" customFormat="1">
      <c r="A11" s="335">
        <f>Data!A33</f>
        <v>17</v>
      </c>
      <c r="C11" s="291">
        <f>+IF(Data!$H33&lt;0,$G$50,IF(Data!$H33=0,100%,$G$51))</f>
        <v>1</v>
      </c>
      <c r="E11" s="292">
        <f>+Data!$B33*Data!H33*IF(TF_Include=1,$C11,100%)</f>
        <v>11.8</v>
      </c>
      <c r="F11" s="292">
        <f>+Data!$B33*Data!D33*IF(TF_Include=1,$C11,100%)</f>
        <v>8</v>
      </c>
      <c r="G11" s="292">
        <f>+Data!$B33*Data!E33*IF(TF_Include=1,$C11,100%)</f>
        <v>12</v>
      </c>
      <c r="H11" s="292">
        <f>+Data!$B33*Data!F33*IF(TF_Include=1,$C11,100%)</f>
        <v>15</v>
      </c>
      <c r="I11" s="293" t="str">
        <f t="shared" si="0"/>
        <v>17.a</v>
      </c>
      <c r="J11" s="292">
        <f t="shared" si="1"/>
        <v>11.8</v>
      </c>
      <c r="K11" s="292">
        <f t="shared" si="1"/>
        <v>11.8</v>
      </c>
      <c r="L11" s="292">
        <f t="shared" si="2"/>
        <v>8</v>
      </c>
      <c r="M11" s="292">
        <f t="shared" si="3"/>
        <v>12</v>
      </c>
      <c r="N11" s="293" t="str">
        <f t="shared" si="4"/>
        <v>17.b</v>
      </c>
      <c r="O11" s="292">
        <f t="shared" si="5"/>
        <v>11.8</v>
      </c>
      <c r="P11" s="292">
        <f t="shared" si="5"/>
        <v>11.8</v>
      </c>
      <c r="Q11" s="292">
        <f t="shared" si="6"/>
        <v>12</v>
      </c>
      <c r="R11" s="292">
        <f t="shared" si="7"/>
        <v>15</v>
      </c>
      <c r="T11" s="279">
        <f t="shared" si="9"/>
        <v>7</v>
      </c>
      <c r="U11" s="279">
        <f t="shared" si="10"/>
        <v>17</v>
      </c>
      <c r="V11" s="279">
        <f t="shared" si="11"/>
        <v>18</v>
      </c>
      <c r="W11" s="279" t="str">
        <f t="shared" si="8"/>
        <v>17 &amp; 18</v>
      </c>
    </row>
    <row r="12" spans="1:23" s="290" customFormat="1">
      <c r="A12" s="335">
        <f>Data!A34</f>
        <v>21</v>
      </c>
      <c r="C12" s="291">
        <f>+IF(Data!$H34&lt;0,$G$50,IF(Data!$H34=0,100%,$G$51))</f>
        <v>1</v>
      </c>
      <c r="E12" s="292">
        <f>+Data!$B34*Data!H34*IF(TF_Include=1,$C12,100%)</f>
        <v>13.281499999999999</v>
      </c>
      <c r="F12" s="292">
        <f>+Data!$B34*Data!D34*IF(TF_Include=1,$C12,100%)</f>
        <v>10.520000000000001</v>
      </c>
      <c r="G12" s="292">
        <f>+Data!$B34*Data!E34*IF(TF_Include=1,$C12,100%)</f>
        <v>13.15</v>
      </c>
      <c r="H12" s="292">
        <f>+Data!$B34*Data!F34*IF(TF_Include=1,$C12,100%)</f>
        <v>16.4375</v>
      </c>
      <c r="I12" s="293" t="str">
        <f t="shared" si="0"/>
        <v>21.a</v>
      </c>
      <c r="J12" s="292">
        <f t="shared" si="1"/>
        <v>13.281499999999999</v>
      </c>
      <c r="K12" s="292">
        <f t="shared" si="1"/>
        <v>13.281499999999999</v>
      </c>
      <c r="L12" s="292">
        <f t="shared" si="2"/>
        <v>10.520000000000001</v>
      </c>
      <c r="M12" s="292">
        <f t="shared" si="3"/>
        <v>13.15</v>
      </c>
      <c r="N12" s="293" t="str">
        <f t="shared" si="4"/>
        <v>21.b</v>
      </c>
      <c r="O12" s="292">
        <f t="shared" si="5"/>
        <v>13.281499999999999</v>
      </c>
      <c r="P12" s="292">
        <f t="shared" si="5"/>
        <v>13.281499999999999</v>
      </c>
      <c r="Q12" s="292">
        <f t="shared" si="6"/>
        <v>13.15</v>
      </c>
      <c r="R12" s="292">
        <f t="shared" si="7"/>
        <v>16.4375</v>
      </c>
      <c r="T12" s="279">
        <f t="shared" si="9"/>
        <v>8</v>
      </c>
      <c r="U12" s="279">
        <f t="shared" si="10"/>
        <v>19</v>
      </c>
      <c r="V12" s="279">
        <f t="shared" si="11"/>
        <v>20</v>
      </c>
      <c r="W12" s="279" t="str">
        <f t="shared" si="8"/>
        <v>19 &amp; 20</v>
      </c>
    </row>
    <row r="13" spans="1:23" s="290" customFormat="1">
      <c r="A13" s="335">
        <f>Data!A35</f>
        <v>22</v>
      </c>
      <c r="C13" s="291">
        <f>+IF(Data!$H35&lt;0,$G$50,IF(Data!$H35=0,100%,$G$51))</f>
        <v>1</v>
      </c>
      <c r="E13" s="292">
        <f>+Data!$B35*Data!H35*IF(TF_Include=1,$C13,100%)</f>
        <v>6.7065000000000001</v>
      </c>
      <c r="F13" s="292">
        <f>+Data!$B35*Data!D35*IF(TF_Include=1,$C13,100%)</f>
        <v>3.9449999999999998</v>
      </c>
      <c r="G13" s="292">
        <f>+Data!$B35*Data!E35*IF(TF_Include=1,$C13,100%)</f>
        <v>6.5750000000000002</v>
      </c>
      <c r="H13" s="292">
        <f>+Data!$B35*Data!F35*IF(TF_Include=1,$C13,100%)</f>
        <v>9.8625000000000007</v>
      </c>
      <c r="I13" s="293" t="str">
        <f t="shared" si="0"/>
        <v>22.a</v>
      </c>
      <c r="J13" s="292">
        <f t="shared" si="1"/>
        <v>6.7065000000000001</v>
      </c>
      <c r="K13" s="292">
        <f t="shared" si="1"/>
        <v>6.7065000000000001</v>
      </c>
      <c r="L13" s="292">
        <f t="shared" si="2"/>
        <v>3.9449999999999998</v>
      </c>
      <c r="M13" s="292">
        <f t="shared" si="3"/>
        <v>6.5750000000000002</v>
      </c>
      <c r="N13" s="293" t="str">
        <f t="shared" si="4"/>
        <v>22.b</v>
      </c>
      <c r="O13" s="292">
        <f t="shared" si="5"/>
        <v>6.7065000000000001</v>
      </c>
      <c r="P13" s="292">
        <f t="shared" si="5"/>
        <v>6.7065000000000001</v>
      </c>
      <c r="Q13" s="292">
        <f t="shared" si="6"/>
        <v>6.5750000000000002</v>
      </c>
      <c r="R13" s="292">
        <f t="shared" si="7"/>
        <v>9.8625000000000007</v>
      </c>
      <c r="T13" s="279">
        <f t="shared" si="9"/>
        <v>9</v>
      </c>
      <c r="U13" s="279">
        <f t="shared" si="10"/>
        <v>21</v>
      </c>
      <c r="V13" s="279">
        <f t="shared" si="11"/>
        <v>22</v>
      </c>
      <c r="W13" s="279" t="str">
        <f t="shared" si="8"/>
        <v>21 &amp; 22</v>
      </c>
    </row>
    <row r="14" spans="1:23" s="290" customFormat="1">
      <c r="A14" s="335">
        <f>Data!A36</f>
        <v>23</v>
      </c>
      <c r="C14" s="291">
        <f>+IF(Data!$H36&lt;0,$G$50,IF(Data!$H36=0,100%,$G$51))</f>
        <v>1</v>
      </c>
      <c r="E14" s="292">
        <f>+Data!$B36*Data!H36*IF(TF_Include=1,$C14,100%)</f>
        <v>1.3412999999999999</v>
      </c>
      <c r="F14" s="292">
        <f>+Data!$B36*Data!D36*IF(TF_Include=1,$C14,100%)</f>
        <v>0.78899999999999992</v>
      </c>
      <c r="G14" s="292">
        <f>+Data!$B36*Data!E36*IF(TF_Include=1,$C14,100%)</f>
        <v>1.3149999999999999</v>
      </c>
      <c r="H14" s="292">
        <f>+Data!$B36*Data!F36*IF(TF_Include=1,$C14,100%)</f>
        <v>1.9724999999999999</v>
      </c>
      <c r="I14" s="293" t="str">
        <f t="shared" si="0"/>
        <v>23.a</v>
      </c>
      <c r="J14" s="292">
        <f t="shared" si="1"/>
        <v>1.3412999999999999</v>
      </c>
      <c r="K14" s="292">
        <f t="shared" si="1"/>
        <v>1.3412999999999999</v>
      </c>
      <c r="L14" s="292">
        <f t="shared" si="2"/>
        <v>0.78899999999999992</v>
      </c>
      <c r="M14" s="292">
        <f t="shared" si="3"/>
        <v>1.3149999999999999</v>
      </c>
      <c r="N14" s="293" t="str">
        <f t="shared" si="4"/>
        <v>23.b</v>
      </c>
      <c r="O14" s="292">
        <f t="shared" si="5"/>
        <v>1.3412999999999999</v>
      </c>
      <c r="P14" s="292">
        <f t="shared" si="5"/>
        <v>1.3412999999999999</v>
      </c>
      <c r="Q14" s="292">
        <f t="shared" si="6"/>
        <v>1.3149999999999999</v>
      </c>
      <c r="R14" s="292">
        <f t="shared" si="7"/>
        <v>1.9724999999999999</v>
      </c>
      <c r="T14" s="279">
        <f t="shared" si="9"/>
        <v>10</v>
      </c>
      <c r="U14" s="279">
        <f t="shared" si="10"/>
        <v>23</v>
      </c>
      <c r="V14" s="279">
        <f t="shared" si="11"/>
        <v>24</v>
      </c>
      <c r="W14" s="279" t="str">
        <f t="shared" si="8"/>
        <v>23 &amp; 24</v>
      </c>
    </row>
    <row r="15" spans="1:23" s="290" customFormat="1">
      <c r="A15" s="335">
        <f>Data!A37</f>
        <v>24</v>
      </c>
      <c r="C15" s="291">
        <f>+IF(Data!$H37&lt;0,$G$50,IF(Data!$H37=0,100%,$G$51))</f>
        <v>1</v>
      </c>
      <c r="E15" s="292">
        <f>+Data!$B37*Data!H37*IF(TF_Include=1,$C15,100%)</f>
        <v>1.3412999999999999</v>
      </c>
      <c r="F15" s="292">
        <f>+Data!$B37*Data!D37*IF(TF_Include=1,$C15,100%)</f>
        <v>0.78899999999999992</v>
      </c>
      <c r="G15" s="292">
        <f>+Data!$B37*Data!E37*IF(TF_Include=1,$C15,100%)</f>
        <v>1.3149999999999999</v>
      </c>
      <c r="H15" s="292">
        <f>+Data!$B37*Data!F37*IF(TF_Include=1,$C15,100%)</f>
        <v>1.9724999999999999</v>
      </c>
      <c r="I15" s="293" t="str">
        <f t="shared" si="0"/>
        <v>24.a</v>
      </c>
      <c r="J15" s="292">
        <f t="shared" si="1"/>
        <v>1.3412999999999999</v>
      </c>
      <c r="K15" s="292">
        <f t="shared" si="1"/>
        <v>1.3412999999999999</v>
      </c>
      <c r="L15" s="292">
        <f t="shared" si="2"/>
        <v>0.78899999999999992</v>
      </c>
      <c r="M15" s="292">
        <f t="shared" si="3"/>
        <v>1.3149999999999999</v>
      </c>
      <c r="N15" s="293" t="str">
        <f t="shared" si="4"/>
        <v>24.b</v>
      </c>
      <c r="O15" s="292">
        <f t="shared" si="5"/>
        <v>1.3412999999999999</v>
      </c>
      <c r="P15" s="292">
        <f t="shared" si="5"/>
        <v>1.3412999999999999</v>
      </c>
      <c r="Q15" s="292">
        <f t="shared" si="6"/>
        <v>1.3149999999999999</v>
      </c>
      <c r="R15" s="292">
        <f t="shared" si="7"/>
        <v>1.9724999999999999</v>
      </c>
      <c r="T15" s="279">
        <f t="shared" si="9"/>
        <v>11</v>
      </c>
      <c r="U15" s="279">
        <f t="shared" si="10"/>
        <v>25</v>
      </c>
      <c r="V15" s="279">
        <f t="shared" si="11"/>
        <v>26</v>
      </c>
      <c r="W15" s="279" t="str">
        <f t="shared" si="8"/>
        <v>25 &amp; 26</v>
      </c>
    </row>
    <row r="16" spans="1:23" s="290" customFormat="1">
      <c r="A16" s="335">
        <f>Data!A38</f>
        <v>31</v>
      </c>
      <c r="C16" s="291">
        <f>+IF(Data!$H38&lt;0,$G$50,IF(Data!$H38=0,100%,$G$51))</f>
        <v>1</v>
      </c>
      <c r="E16" s="292">
        <f>+Data!$B38*Data!H38*IF(TF_Include=1,$C16,100%)</f>
        <v>18</v>
      </c>
      <c r="F16" s="292">
        <f>+Data!$B38*Data!D38*IF(TF_Include=1,$C16,100%)</f>
        <v>10</v>
      </c>
      <c r="G16" s="292">
        <f>+Data!$B38*Data!E38*IF(TF_Include=1,$C16,100%)</f>
        <v>15</v>
      </c>
      <c r="H16" s="292">
        <f>+Data!$B38*Data!F38*IF(TF_Include=1,$C16,100%)</f>
        <v>35</v>
      </c>
      <c r="I16" s="293" t="str">
        <f>+_xlfn.CONCAT($A16,".a")</f>
        <v>31.a</v>
      </c>
      <c r="J16" s="292">
        <f t="shared" si="1"/>
        <v>18</v>
      </c>
      <c r="K16" s="292">
        <f t="shared" si="1"/>
        <v>18</v>
      </c>
      <c r="L16" s="292">
        <f t="shared" si="2"/>
        <v>10</v>
      </c>
      <c r="M16" s="292">
        <f t="shared" si="3"/>
        <v>15</v>
      </c>
      <c r="N16" s="293" t="str">
        <f>+_xlfn.CONCAT($A16,".b")</f>
        <v>31.b</v>
      </c>
      <c r="O16" s="292">
        <f t="shared" si="5"/>
        <v>18</v>
      </c>
      <c r="P16" s="292">
        <f t="shared" si="5"/>
        <v>18</v>
      </c>
      <c r="Q16" s="292">
        <f t="shared" si="6"/>
        <v>15</v>
      </c>
      <c r="R16" s="292">
        <f t="shared" si="7"/>
        <v>35</v>
      </c>
      <c r="T16" s="279">
        <f t="shared" si="9"/>
        <v>12</v>
      </c>
      <c r="U16" s="279">
        <f t="shared" si="10"/>
        <v>27</v>
      </c>
      <c r="V16" s="279">
        <f t="shared" si="11"/>
        <v>28</v>
      </c>
      <c r="W16" s="279" t="str">
        <f t="shared" si="8"/>
        <v>27 &amp; 28</v>
      </c>
    </row>
    <row r="17" spans="1:23" s="290" customFormat="1">
      <c r="A17" s="335">
        <f>Data!A39</f>
        <v>32</v>
      </c>
      <c r="C17" s="291">
        <f>+IF(Data!$H39&lt;0,$G$50,IF(Data!$H39=0,100%,$G$51))</f>
        <v>1</v>
      </c>
      <c r="E17" s="292">
        <f>+Data!$B39*Data!H39*IF(TF_Include=1,$C17,100%)</f>
        <v>2</v>
      </c>
      <c r="F17" s="292">
        <f>+Data!$B39*Data!D39*IF(TF_Include=1,$C17,100%)</f>
        <v>1</v>
      </c>
      <c r="G17" s="292">
        <f>+Data!$B39*Data!E39*IF(TF_Include=1,$C17,100%)</f>
        <v>2</v>
      </c>
      <c r="H17" s="292">
        <f>+Data!$B39*Data!F39*IF(TF_Include=1,$C17,100%)</f>
        <v>3</v>
      </c>
      <c r="I17" s="293" t="str">
        <f t="shared" si="0"/>
        <v>32.a</v>
      </c>
      <c r="J17" s="292">
        <f t="shared" si="1"/>
        <v>2</v>
      </c>
      <c r="K17" s="292">
        <f t="shared" si="1"/>
        <v>2</v>
      </c>
      <c r="L17" s="292">
        <f t="shared" si="2"/>
        <v>1</v>
      </c>
      <c r="M17" s="292">
        <f t="shared" si="3"/>
        <v>2</v>
      </c>
      <c r="N17" s="293" t="str">
        <f t="shared" si="4"/>
        <v>32.b</v>
      </c>
      <c r="O17" s="292">
        <f t="shared" si="5"/>
        <v>2</v>
      </c>
      <c r="P17" s="292">
        <f t="shared" si="5"/>
        <v>2</v>
      </c>
      <c r="Q17" s="292">
        <f t="shared" si="6"/>
        <v>2</v>
      </c>
      <c r="R17" s="292">
        <f t="shared" si="7"/>
        <v>3</v>
      </c>
      <c r="T17" s="279">
        <f t="shared" si="9"/>
        <v>13</v>
      </c>
      <c r="U17" s="279">
        <f t="shared" si="10"/>
        <v>29</v>
      </c>
      <c r="V17" s="279">
        <f t="shared" si="11"/>
        <v>30</v>
      </c>
      <c r="W17" s="279" t="str">
        <f t="shared" si="8"/>
        <v>29 &amp; 30</v>
      </c>
    </row>
    <row r="18" spans="1:23" s="290" customFormat="1">
      <c r="A18" s="335">
        <f>Data!A40</f>
        <v>33</v>
      </c>
      <c r="C18" s="291">
        <f>+IF(Data!$H47&lt;0,$G$50,IF(Data!$H47=0,100%,$G$51))</f>
        <v>1</v>
      </c>
      <c r="E18" s="292">
        <f>+Data!$B40*Data!H40*IF(TF_Include=1,$C18,100%)</f>
        <v>4.8</v>
      </c>
      <c r="F18" s="292">
        <f>+Data!$B40*Data!D40*IF(TF_Include=1,$C18,100%)</f>
        <v>1</v>
      </c>
      <c r="G18" s="292">
        <f>+Data!$B40*Data!E40*IF(TF_Include=1,$C18,100%)</f>
        <v>5</v>
      </c>
      <c r="H18" s="292">
        <f>+Data!$B40*Data!F40*IF(TF_Include=1,$C18,100%)</f>
        <v>8</v>
      </c>
      <c r="I18" s="293" t="str">
        <f t="shared" si="0"/>
        <v>33.a</v>
      </c>
      <c r="J18" s="292">
        <f t="shared" si="1"/>
        <v>4.8</v>
      </c>
      <c r="K18" s="292">
        <f t="shared" si="1"/>
        <v>4.8</v>
      </c>
      <c r="L18" s="292">
        <f t="shared" si="2"/>
        <v>1</v>
      </c>
      <c r="M18" s="292">
        <f t="shared" si="3"/>
        <v>5</v>
      </c>
      <c r="N18" s="293" t="str">
        <f t="shared" si="4"/>
        <v>33.b</v>
      </c>
      <c r="O18" s="292">
        <f t="shared" si="5"/>
        <v>4.8</v>
      </c>
      <c r="P18" s="292">
        <f t="shared" si="5"/>
        <v>4.8</v>
      </c>
      <c r="Q18" s="292">
        <f t="shared" si="6"/>
        <v>5</v>
      </c>
      <c r="R18" s="292">
        <f t="shared" si="7"/>
        <v>8</v>
      </c>
      <c r="T18" s="279">
        <f t="shared" si="9"/>
        <v>14</v>
      </c>
      <c r="U18" s="279">
        <f t="shared" si="10"/>
        <v>31</v>
      </c>
      <c r="V18" s="279">
        <f t="shared" ref="V18:V27" si="12">+U18+1</f>
        <v>32</v>
      </c>
      <c r="W18" s="279" t="str">
        <f t="shared" ref="W18:W27" si="13">+_xlfn.CONCAT(U18," &amp; ",V18)</f>
        <v>31 &amp; 32</v>
      </c>
    </row>
    <row r="19" spans="1:23" s="290" customFormat="1">
      <c r="A19" s="335">
        <f>Data!A41</f>
        <v>34</v>
      </c>
      <c r="C19" s="291">
        <f>+IF(Data!$H48&lt;0,$G$50,IF(Data!$H48=0,100%,$G$51))</f>
        <v>1</v>
      </c>
      <c r="E19" s="292">
        <f>+Data!$B41*Data!H41*IF(TF_Include=1,$C19,100%)</f>
        <v>2.2000000000000002</v>
      </c>
      <c r="F19" s="292">
        <f>+Data!$B41*Data!D41*IF(TF_Include=1,$C19,100%)</f>
        <v>1</v>
      </c>
      <c r="G19" s="292">
        <f>+Data!$B41*Data!E41*IF(TF_Include=1,$C19,100%)</f>
        <v>2</v>
      </c>
      <c r="H19" s="292">
        <f>+Data!$B41*Data!F41*IF(TF_Include=1,$C19,100%)</f>
        <v>4</v>
      </c>
      <c r="I19" s="293" t="str">
        <f t="shared" si="0"/>
        <v>34.a</v>
      </c>
      <c r="J19" s="292">
        <f t="shared" si="1"/>
        <v>2.2000000000000002</v>
      </c>
      <c r="K19" s="292">
        <f t="shared" si="1"/>
        <v>2.2000000000000002</v>
      </c>
      <c r="L19" s="292">
        <f t="shared" si="2"/>
        <v>1</v>
      </c>
      <c r="M19" s="292">
        <f t="shared" si="3"/>
        <v>2</v>
      </c>
      <c r="N19" s="293" t="str">
        <f t="shared" si="4"/>
        <v>34.b</v>
      </c>
      <c r="O19" s="292">
        <f t="shared" si="5"/>
        <v>2.2000000000000002</v>
      </c>
      <c r="P19" s="292">
        <f t="shared" si="5"/>
        <v>2.2000000000000002</v>
      </c>
      <c r="Q19" s="292">
        <f t="shared" si="6"/>
        <v>2</v>
      </c>
      <c r="R19" s="292">
        <f t="shared" si="7"/>
        <v>4</v>
      </c>
      <c r="T19" s="279">
        <f t="shared" si="9"/>
        <v>15</v>
      </c>
      <c r="U19" s="279">
        <f t="shared" si="10"/>
        <v>33</v>
      </c>
      <c r="V19" s="279">
        <f t="shared" si="12"/>
        <v>34</v>
      </c>
      <c r="W19" s="279" t="str">
        <f t="shared" si="13"/>
        <v>33 &amp; 34</v>
      </c>
    </row>
    <row r="20" spans="1:23" s="290" customFormat="1">
      <c r="A20" s="335">
        <f>Data!A42</f>
        <v>35</v>
      </c>
      <c r="C20" s="291">
        <f>+IF(Data!$H49&lt;0,$G$50,IF(Data!$H49=0,100%,$G$51))</f>
        <v>1</v>
      </c>
      <c r="E20" s="292">
        <f>+Data!$B42*Data!H42*IF(TF_Include=1,$C20,100%)</f>
        <v>2.1</v>
      </c>
      <c r="F20" s="292">
        <f>+Data!$B42*Data!D42*IF(TF_Include=1,$C20,100%)</f>
        <v>1.5</v>
      </c>
      <c r="G20" s="292">
        <f>+Data!$B42*Data!E42*IF(TF_Include=1,$C20,100%)</f>
        <v>2</v>
      </c>
      <c r="H20" s="292">
        <f>+Data!$B42*Data!F42*IF(TF_Include=1,$C20,100%)</f>
        <v>3</v>
      </c>
      <c r="I20" s="293" t="str">
        <f t="shared" si="0"/>
        <v>35.a</v>
      </c>
      <c r="J20" s="292">
        <f t="shared" si="1"/>
        <v>2.1</v>
      </c>
      <c r="K20" s="292">
        <f t="shared" si="1"/>
        <v>2.1</v>
      </c>
      <c r="L20" s="292">
        <f t="shared" si="2"/>
        <v>1.5</v>
      </c>
      <c r="M20" s="292">
        <f t="shared" si="3"/>
        <v>2</v>
      </c>
      <c r="N20" s="293" t="str">
        <f t="shared" si="4"/>
        <v>35.b</v>
      </c>
      <c r="O20" s="292">
        <f t="shared" si="5"/>
        <v>2.1</v>
      </c>
      <c r="P20" s="292">
        <f t="shared" si="5"/>
        <v>2.1</v>
      </c>
      <c r="Q20" s="292">
        <f t="shared" si="6"/>
        <v>2</v>
      </c>
      <c r="R20" s="292">
        <f t="shared" si="7"/>
        <v>3</v>
      </c>
      <c r="T20" s="279">
        <f t="shared" si="9"/>
        <v>16</v>
      </c>
      <c r="U20" s="279">
        <f t="shared" si="10"/>
        <v>35</v>
      </c>
      <c r="V20" s="279">
        <f t="shared" si="12"/>
        <v>36</v>
      </c>
      <c r="W20" s="279" t="str">
        <f t="shared" si="13"/>
        <v>35 &amp; 36</v>
      </c>
    </row>
    <row r="21" spans="1:23" s="290" customFormat="1">
      <c r="A21" s="335">
        <f>Data!A43</f>
        <v>36</v>
      </c>
      <c r="C21" s="291">
        <f>+IF(Data!$H50&lt;0,$G$50,IF(Data!$H50=0,100%,$G$51))</f>
        <v>1</v>
      </c>
      <c r="E21" s="292">
        <f>+Data!$B43*Data!H43*IF(TF_Include=1,$C21,100%)</f>
        <v>1.08</v>
      </c>
      <c r="F21" s="292">
        <f>+Data!$B43*Data!D43*IF(TF_Include=1,$C21,100%)</f>
        <v>0.9</v>
      </c>
      <c r="G21" s="292">
        <f>+Data!$B43*Data!E43*IF(TF_Include=1,$C21,100%)</f>
        <v>1</v>
      </c>
      <c r="H21" s="292">
        <f>+Data!$B43*Data!F43*IF(TF_Include=1,$C21,100%)</f>
        <v>1.5</v>
      </c>
      <c r="I21" s="293" t="str">
        <f t="shared" si="0"/>
        <v>36.a</v>
      </c>
      <c r="J21" s="292">
        <f t="shared" si="1"/>
        <v>1.08</v>
      </c>
      <c r="K21" s="292">
        <f t="shared" si="1"/>
        <v>1.08</v>
      </c>
      <c r="L21" s="292">
        <f t="shared" si="2"/>
        <v>0.9</v>
      </c>
      <c r="M21" s="292">
        <f t="shared" si="3"/>
        <v>1</v>
      </c>
      <c r="N21" s="293" t="str">
        <f t="shared" si="4"/>
        <v>36.b</v>
      </c>
      <c r="O21" s="292">
        <f t="shared" si="5"/>
        <v>1.08</v>
      </c>
      <c r="P21" s="292">
        <f t="shared" si="5"/>
        <v>1.08</v>
      </c>
      <c r="Q21" s="292">
        <f t="shared" si="6"/>
        <v>1</v>
      </c>
      <c r="R21" s="292">
        <f t="shared" si="7"/>
        <v>1.5</v>
      </c>
      <c r="T21" s="279">
        <f t="shared" si="9"/>
        <v>17</v>
      </c>
      <c r="U21" s="279">
        <f t="shared" si="10"/>
        <v>37</v>
      </c>
      <c r="V21" s="279">
        <f t="shared" si="12"/>
        <v>38</v>
      </c>
      <c r="W21" s="279" t="str">
        <f t="shared" si="13"/>
        <v>37 &amp; 38</v>
      </c>
    </row>
    <row r="22" spans="1:23" s="290" customFormat="1">
      <c r="A22" s="335">
        <f>Data!A44</f>
        <v>37</v>
      </c>
      <c r="C22" s="291">
        <f>+IF(Data!$H51&lt;0,$G$50,IF(Data!$H51=0,100%,$G$51))</f>
        <v>1</v>
      </c>
      <c r="E22" s="292">
        <f>+Data!$B44*Data!H44*IF(TF_Include=1,$C22,100%)</f>
        <v>1</v>
      </c>
      <c r="F22" s="292">
        <f>+Data!$B44*Data!D44*IF(TF_Include=1,$C22,100%)</f>
        <v>0.5</v>
      </c>
      <c r="G22" s="292">
        <f>+Data!$B44*Data!E44*IF(TF_Include=1,$C22,100%)</f>
        <v>1</v>
      </c>
      <c r="H22" s="292">
        <f>+Data!$B44*Data!F44*IF(TF_Include=1,$C22,100%)</f>
        <v>1.5</v>
      </c>
      <c r="I22" s="293" t="str">
        <f t="shared" si="0"/>
        <v>37.a</v>
      </c>
      <c r="J22" s="292">
        <f t="shared" si="1"/>
        <v>1</v>
      </c>
      <c r="K22" s="292">
        <f t="shared" si="1"/>
        <v>1</v>
      </c>
      <c r="L22" s="292">
        <f t="shared" si="2"/>
        <v>0.5</v>
      </c>
      <c r="M22" s="292">
        <f t="shared" si="3"/>
        <v>1</v>
      </c>
      <c r="N22" s="293" t="str">
        <f t="shared" si="4"/>
        <v>37.b</v>
      </c>
      <c r="O22" s="292">
        <f t="shared" si="5"/>
        <v>1</v>
      </c>
      <c r="P22" s="292">
        <f t="shared" si="5"/>
        <v>1</v>
      </c>
      <c r="Q22" s="292">
        <f t="shared" si="6"/>
        <v>1</v>
      </c>
      <c r="R22" s="292">
        <f t="shared" si="7"/>
        <v>1.5</v>
      </c>
      <c r="T22" s="279">
        <f t="shared" si="9"/>
        <v>18</v>
      </c>
      <c r="U22" s="279">
        <f t="shared" si="10"/>
        <v>39</v>
      </c>
      <c r="V22" s="279">
        <f t="shared" si="12"/>
        <v>40</v>
      </c>
      <c r="W22" s="279" t="str">
        <f t="shared" si="13"/>
        <v>39 &amp; 40</v>
      </c>
    </row>
    <row r="23" spans="1:23" s="290" customFormat="1">
      <c r="A23" s="335">
        <f>Data!A45</f>
        <v>38</v>
      </c>
      <c r="C23" s="291" t="e">
        <f>+IF(Data!#REF!&lt;0,$G$50,IF(Data!#REF!=0,100%,$G$51))</f>
        <v>#REF!</v>
      </c>
      <c r="E23" s="292">
        <f>+Data!$B45*Data!H45*IF(TF_Include=1,$C23,100%)</f>
        <v>8.0796903000000011</v>
      </c>
      <c r="F23" s="292">
        <f>+Data!$B45*Data!D45*IF(TF_Include=1,$C23,100%)</f>
        <v>4.7527590000000002</v>
      </c>
      <c r="G23" s="292">
        <f>+Data!$B45*Data!E45*IF(TF_Include=1,$C23,100%)</f>
        <v>7.921265</v>
      </c>
      <c r="H23" s="292">
        <f>+Data!$B45*Data!F45*IF(TF_Include=1,$C23,100%)</f>
        <v>11.881897500000001</v>
      </c>
      <c r="I23" s="293" t="str">
        <f t="shared" si="0"/>
        <v>38.a</v>
      </c>
      <c r="J23" s="292">
        <f t="shared" si="1"/>
        <v>8.0796903000000011</v>
      </c>
      <c r="K23" s="292">
        <f t="shared" si="1"/>
        <v>8.0796903000000011</v>
      </c>
      <c r="L23" s="292">
        <f t="shared" si="2"/>
        <v>4.7527590000000002</v>
      </c>
      <c r="M23" s="292">
        <f t="shared" si="3"/>
        <v>7.921265</v>
      </c>
      <c r="N23" s="293" t="str">
        <f t="shared" si="4"/>
        <v>38.b</v>
      </c>
      <c r="O23" s="292">
        <f t="shared" si="5"/>
        <v>8.0796903000000011</v>
      </c>
      <c r="P23" s="292">
        <f t="shared" si="5"/>
        <v>8.0796903000000011</v>
      </c>
      <c r="Q23" s="292">
        <f t="shared" si="6"/>
        <v>7.921265</v>
      </c>
      <c r="R23" s="292">
        <f t="shared" si="7"/>
        <v>11.881897500000001</v>
      </c>
      <c r="T23" s="279">
        <f t="shared" si="9"/>
        <v>19</v>
      </c>
      <c r="U23" s="279">
        <f t="shared" si="10"/>
        <v>41</v>
      </c>
      <c r="V23" s="279">
        <f t="shared" si="12"/>
        <v>42</v>
      </c>
      <c r="W23" s="279" t="str">
        <f t="shared" si="13"/>
        <v>41 &amp; 42</v>
      </c>
    </row>
    <row r="24" spans="1:23" s="290" customFormat="1">
      <c r="A24" s="335">
        <f>Data!A46</f>
        <v>40</v>
      </c>
      <c r="C24" s="291" t="e">
        <f>+IF(Data!#REF!&lt;0,$G$50,IF(Data!#REF!=0,100%,$G$51))</f>
        <v>#REF!</v>
      </c>
      <c r="E24" s="292">
        <f>+Data!$B46*Data!H46*IF(TF_Include=1,$C24,100%)</f>
        <v>46</v>
      </c>
      <c r="F24" s="292">
        <f>+Data!$B46*Data!D46*IF(TF_Include=1,$C24,100%)</f>
        <v>20</v>
      </c>
      <c r="G24" s="292">
        <f>+Data!$B46*Data!E46*IF(TF_Include=1,$C24,100%)</f>
        <v>45</v>
      </c>
      <c r="H24" s="292">
        <f>+Data!$B46*Data!F46*IF(TF_Include=1,$C24,100%)</f>
        <v>75</v>
      </c>
      <c r="I24" s="293" t="str">
        <f t="shared" si="0"/>
        <v>40.a</v>
      </c>
      <c r="J24" s="292">
        <f t="shared" si="1"/>
        <v>46</v>
      </c>
      <c r="K24" s="292">
        <f t="shared" si="1"/>
        <v>46</v>
      </c>
      <c r="L24" s="292">
        <f t="shared" si="2"/>
        <v>20</v>
      </c>
      <c r="M24" s="292">
        <f t="shared" si="3"/>
        <v>45</v>
      </c>
      <c r="N24" s="293" t="str">
        <f t="shared" si="4"/>
        <v>40.b</v>
      </c>
      <c r="O24" s="292">
        <f t="shared" si="5"/>
        <v>46</v>
      </c>
      <c r="P24" s="292">
        <f t="shared" si="5"/>
        <v>46</v>
      </c>
      <c r="Q24" s="292">
        <f t="shared" si="6"/>
        <v>45</v>
      </c>
      <c r="R24" s="292">
        <f t="shared" si="7"/>
        <v>75</v>
      </c>
      <c r="T24" s="279">
        <f t="shared" si="9"/>
        <v>20</v>
      </c>
      <c r="U24" s="279">
        <f t="shared" si="10"/>
        <v>43</v>
      </c>
      <c r="V24" s="279">
        <f t="shared" si="12"/>
        <v>44</v>
      </c>
      <c r="W24" s="279" t="str">
        <f t="shared" si="13"/>
        <v>43 &amp; 44</v>
      </c>
    </row>
    <row r="25" spans="1:23" s="290" customFormat="1">
      <c r="A25" s="335">
        <f>Data!A50</f>
        <v>97</v>
      </c>
      <c r="C25" s="291">
        <f>+IF(Data!$H50&lt;0,$G$50,IF(Data!$H50=0,100%,$G$51))</f>
        <v>1</v>
      </c>
      <c r="E25" s="292">
        <f>+Data!$B50*Data!H50*IF(TF_Include=1,$C25,100%)</f>
        <v>2.5299999999999998</v>
      </c>
      <c r="F25" s="292">
        <f>+Data!$B50*Data!D50*IF(TF_Include=1,$C25,100%)</f>
        <v>0.32404215815442194</v>
      </c>
      <c r="G25" s="292">
        <f>+Data!$B50*Data!E50*IF(TF_Include=1,$C25,100%)</f>
        <v>2.5299999999999998</v>
      </c>
      <c r="H25" s="292">
        <f>+Data!$B50*Data!F50*IF(TF_Include=1,$C25,100%)</f>
        <v>4.7359578418455772</v>
      </c>
      <c r="I25" s="293" t="str">
        <f t="shared" si="0"/>
        <v>97.a</v>
      </c>
      <c r="J25" s="292">
        <f t="shared" si="1"/>
        <v>2.5299999999999998</v>
      </c>
      <c r="K25" s="292">
        <f t="shared" si="1"/>
        <v>2.5299999999999998</v>
      </c>
      <c r="L25" s="292">
        <f t="shared" si="2"/>
        <v>0.32404215815442194</v>
      </c>
      <c r="M25" s="292">
        <f t="shared" si="3"/>
        <v>2.5299999999999998</v>
      </c>
      <c r="N25" s="293" t="str">
        <f t="shared" si="4"/>
        <v>97.b</v>
      </c>
      <c r="O25" s="292">
        <f t="shared" si="5"/>
        <v>2.5299999999999998</v>
      </c>
      <c r="P25" s="292">
        <f t="shared" si="5"/>
        <v>2.5299999999999998</v>
      </c>
      <c r="Q25" s="292">
        <f t="shared" si="6"/>
        <v>2.5299999999999998</v>
      </c>
      <c r="R25" s="292">
        <f t="shared" si="7"/>
        <v>4.7359578418455772</v>
      </c>
      <c r="T25" s="279">
        <f t="shared" si="9"/>
        <v>21</v>
      </c>
      <c r="U25" s="279">
        <f t="shared" si="10"/>
        <v>45</v>
      </c>
      <c r="V25" s="279">
        <f t="shared" si="12"/>
        <v>46</v>
      </c>
      <c r="W25" s="279" t="str">
        <f t="shared" si="13"/>
        <v>45 &amp; 46</v>
      </c>
    </row>
    <row r="26" spans="1:23" s="290" customFormat="1">
      <c r="A26" s="335" t="e">
        <f>Data!#REF!</f>
        <v>#REF!</v>
      </c>
      <c r="C26" s="291" t="e">
        <f>+IF(Data!#REF!&lt;0,$G$50,IF(Data!#REF!=0,100%,$G$51))</f>
        <v>#REF!</v>
      </c>
      <c r="E26" s="292" t="e">
        <f>+Data!#REF!*Data!#REF!*IF(TF_Include=1,$C29,100%)</f>
        <v>#REF!</v>
      </c>
      <c r="F26" s="292" t="e">
        <f>+Data!#REF!*Data!#REF!*IF(TF_Include=1,$C29,100%)</f>
        <v>#REF!</v>
      </c>
      <c r="G26" s="292" t="e">
        <f>+Data!#REF!*Data!#REF!*IF(TF_Include=1,$C29,100%)</f>
        <v>#REF!</v>
      </c>
      <c r="H26" s="292" t="e">
        <f>+Data!#REF!*Data!#REF!*IF(TF_Include=1,$C29,100%)</f>
        <v>#REF!</v>
      </c>
      <c r="I26" s="293" t="e">
        <f t="shared" si="0"/>
        <v>#REF!</v>
      </c>
      <c r="J26" s="292" t="e">
        <f t="shared" ref="J26:K27" si="14">+$E26</f>
        <v>#REF!</v>
      </c>
      <c r="K26" s="292" t="e">
        <f t="shared" si="14"/>
        <v>#REF!</v>
      </c>
      <c r="L26" s="292" t="e">
        <f t="shared" si="2"/>
        <v>#REF!</v>
      </c>
      <c r="M26" s="292" t="e">
        <f t="shared" si="3"/>
        <v>#REF!</v>
      </c>
      <c r="N26" s="293" t="e">
        <f t="shared" si="4"/>
        <v>#REF!</v>
      </c>
      <c r="O26" s="292" t="e">
        <f t="shared" ref="O26:P27" si="15">+$E26</f>
        <v>#REF!</v>
      </c>
      <c r="P26" s="292" t="e">
        <f t="shared" si="15"/>
        <v>#REF!</v>
      </c>
      <c r="Q26" s="292" t="e">
        <f t="shared" si="6"/>
        <v>#REF!</v>
      </c>
      <c r="R26" s="292" t="e">
        <f t="shared" si="7"/>
        <v>#REF!</v>
      </c>
      <c r="T26" s="279">
        <f t="shared" si="9"/>
        <v>22</v>
      </c>
      <c r="U26" s="279">
        <f t="shared" si="10"/>
        <v>47</v>
      </c>
      <c r="V26" s="279">
        <f t="shared" si="12"/>
        <v>48</v>
      </c>
      <c r="W26" s="279" t="str">
        <f t="shared" si="13"/>
        <v>47 &amp; 48</v>
      </c>
    </row>
    <row r="27" spans="1:23" s="290" customFormat="1">
      <c r="A27" s="335" t="e">
        <f>Data!#REF!</f>
        <v>#REF!</v>
      </c>
      <c r="C27" s="291" t="e">
        <f>+IF(Data!#REF!&lt;0,$G$50,IF(Data!#REF!=0,100%,$G$51))</f>
        <v>#REF!</v>
      </c>
      <c r="E27" s="292" t="e">
        <f>+Data!#REF!*Data!#REF!*IF(TF_Include=1,$C33,100%)</f>
        <v>#REF!</v>
      </c>
      <c r="F27" s="292" t="e">
        <f>+Data!#REF!*Data!#REF!*IF(TF_Include=1,$C33,100%)</f>
        <v>#REF!</v>
      </c>
      <c r="G27" s="292" t="e">
        <f>+Data!#REF!*Data!#REF!*IF(TF_Include=1,$C33,100%)</f>
        <v>#REF!</v>
      </c>
      <c r="H27" s="292" t="e">
        <f>+Data!#REF!*Data!#REF!*IF(TF_Include=1,$C33,100%)</f>
        <v>#REF!</v>
      </c>
      <c r="I27" s="293" t="e">
        <f t="shared" si="0"/>
        <v>#REF!</v>
      </c>
      <c r="J27" s="292" t="e">
        <f t="shared" si="14"/>
        <v>#REF!</v>
      </c>
      <c r="K27" s="292" t="e">
        <f t="shared" si="14"/>
        <v>#REF!</v>
      </c>
      <c r="L27" s="292" t="e">
        <f t="shared" si="2"/>
        <v>#REF!</v>
      </c>
      <c r="M27" s="292" t="e">
        <f t="shared" si="3"/>
        <v>#REF!</v>
      </c>
      <c r="N27" s="293" t="e">
        <f t="shared" si="4"/>
        <v>#REF!</v>
      </c>
      <c r="O27" s="292" t="e">
        <f t="shared" si="15"/>
        <v>#REF!</v>
      </c>
      <c r="P27" s="292" t="e">
        <f t="shared" si="15"/>
        <v>#REF!</v>
      </c>
      <c r="Q27" s="292" t="e">
        <f t="shared" si="6"/>
        <v>#REF!</v>
      </c>
      <c r="R27" s="292" t="e">
        <f t="shared" si="7"/>
        <v>#REF!</v>
      </c>
      <c r="T27" s="279">
        <f t="shared" si="9"/>
        <v>23</v>
      </c>
      <c r="U27" s="279">
        <f t="shared" si="10"/>
        <v>49</v>
      </c>
      <c r="V27" s="279">
        <f t="shared" si="12"/>
        <v>50</v>
      </c>
      <c r="W27" s="279" t="str">
        <f t="shared" si="13"/>
        <v>49 &amp; 50</v>
      </c>
    </row>
    <row r="28" spans="1:23" s="290" customFormat="1">
      <c r="C28" s="297"/>
      <c r="D28" s="295"/>
      <c r="T28" s="279"/>
      <c r="U28" s="298"/>
      <c r="V28" s="298"/>
      <c r="W28" s="279"/>
    </row>
    <row r="29" spans="1:23" s="290" customFormat="1" ht="6.9" customHeight="1">
      <c r="T29" s="279"/>
      <c r="U29" s="279"/>
      <c r="V29" s="298"/>
      <c r="W29" s="279"/>
    </row>
    <row r="30" spans="1:23" s="290" customFormat="1">
      <c r="T30" s="279"/>
      <c r="U30" s="279"/>
      <c r="V30" s="298"/>
      <c r="W30" s="279"/>
    </row>
    <row r="31" spans="1:23" s="290" customFormat="1">
      <c r="E31" s="285"/>
      <c r="F31" s="285"/>
      <c r="G31" s="285"/>
      <c r="H31" s="285"/>
      <c r="R31" s="279"/>
      <c r="S31" s="279"/>
      <c r="T31" s="298"/>
      <c r="U31" s="279"/>
    </row>
    <row r="32" spans="1:23" s="290" customFormat="1">
      <c r="E32" s="285">
        <v>48</v>
      </c>
      <c r="F32" s="285">
        <v>45</v>
      </c>
      <c r="G32" s="285">
        <v>46</v>
      </c>
      <c r="H32" s="285">
        <v>47</v>
      </c>
      <c r="T32" s="298"/>
      <c r="U32" s="286" t="s">
        <v>104</v>
      </c>
    </row>
    <row r="33" spans="1:23" s="290" customFormat="1">
      <c r="A33" s="336" t="str">
        <f>Data!$C$10</f>
        <v>General Uncertainties</v>
      </c>
      <c r="B33" s="337"/>
      <c r="C33" s="337"/>
      <c r="D33" s="337"/>
      <c r="E33" s="285"/>
      <c r="F33" s="285"/>
      <c r="G33" s="285"/>
      <c r="H33" s="285"/>
      <c r="T33" s="298"/>
      <c r="U33" s="286"/>
    </row>
    <row r="34" spans="1:23" s="290" customFormat="1" ht="15.45">
      <c r="A34" s="287" t="str">
        <f>+$A$4</f>
        <v>RefNo.</v>
      </c>
      <c r="C34" s="299" t="s">
        <v>108</v>
      </c>
      <c r="E34" s="334" t="s">
        <v>109</v>
      </c>
      <c r="F34" s="334" t="s">
        <v>110</v>
      </c>
      <c r="G34" s="334" t="s">
        <v>111</v>
      </c>
      <c r="H34" s="334" t="s">
        <v>112</v>
      </c>
      <c r="J34" s="299" t="str">
        <f>J4</f>
        <v>x1</v>
      </c>
      <c r="K34" s="299" t="str">
        <f>K4</f>
        <v>x2</v>
      </c>
      <c r="L34" s="299" t="str">
        <f>L4</f>
        <v>y1</v>
      </c>
      <c r="M34" s="299" t="str">
        <f>M4</f>
        <v>y2</v>
      </c>
      <c r="N34" s="299"/>
      <c r="O34" s="299" t="str">
        <f>O4</f>
        <v>x2</v>
      </c>
      <c r="P34" s="299" t="str">
        <f>P4</f>
        <v>x3</v>
      </c>
      <c r="Q34" s="299" t="str">
        <f>Q4</f>
        <v>y2</v>
      </c>
      <c r="R34" s="299" t="str">
        <f>R4</f>
        <v>y3</v>
      </c>
      <c r="T34" s="279"/>
    </row>
    <row r="35" spans="1:23" s="290" customFormat="1">
      <c r="A35" s="289" t="str">
        <f>Data!A11</f>
        <v>A</v>
      </c>
      <c r="B35" s="300"/>
      <c r="C35" s="301">
        <f t="shared" ref="C35:C46" si="16">+IF(TF_Include=1,0,1)</f>
        <v>1</v>
      </c>
      <c r="E35" s="292">
        <f>Data!$B11*Data!H11*$C35</f>
        <v>14</v>
      </c>
      <c r="F35" s="292">
        <f>Data!$B11*Data!D11*$C35</f>
        <v>-35</v>
      </c>
      <c r="G35" s="292">
        <f>Data!$B11*Data!E11*$C35</f>
        <v>10</v>
      </c>
      <c r="H35" s="292">
        <f>Data!$B11*Data!F11*$C35</f>
        <v>75</v>
      </c>
      <c r="I35" s="293" t="str">
        <f t="shared" ref="I35:I46" si="17">+_xlfn.CONCAT($A35,".a")</f>
        <v>A.a</v>
      </c>
      <c r="J35" s="292">
        <f t="shared" ref="J35:K46" si="18">+$E35</f>
        <v>14</v>
      </c>
      <c r="K35" s="292">
        <f t="shared" si="18"/>
        <v>14</v>
      </c>
      <c r="L35" s="292">
        <f t="shared" ref="L35:L46" si="19">+$F35</f>
        <v>-35</v>
      </c>
      <c r="M35" s="292">
        <f t="shared" ref="M35:M46" si="20">+$G35</f>
        <v>10</v>
      </c>
      <c r="N35" s="293" t="str">
        <f t="shared" ref="N35:N46" si="21">+_xlfn.CONCAT($A35,".b")</f>
        <v>A.b</v>
      </c>
      <c r="O35" s="292">
        <f t="shared" ref="O35:P46" si="22">+$E35</f>
        <v>14</v>
      </c>
      <c r="P35" s="292">
        <f t="shared" si="22"/>
        <v>14</v>
      </c>
      <c r="Q35" s="292">
        <f t="shared" ref="Q35:Q46" si="23">+$G35</f>
        <v>10</v>
      </c>
      <c r="R35" s="292">
        <f t="shared" ref="R35:R46" si="24">+$H35</f>
        <v>75</v>
      </c>
      <c r="T35" s="279">
        <f>+T27+1</f>
        <v>24</v>
      </c>
      <c r="U35" s="294">
        <f>+MAX(E32:H32)+1</f>
        <v>49</v>
      </c>
      <c r="V35" s="279">
        <f t="shared" ref="V35:V44" si="25">+U35+1</f>
        <v>50</v>
      </c>
      <c r="W35" s="279" t="str">
        <f t="shared" ref="W35:W44" si="26">+_xlfn.CONCAT(U35," &amp; ",V35)</f>
        <v>49 &amp; 50</v>
      </c>
    </row>
    <row r="36" spans="1:23" s="290" customFormat="1">
      <c r="A36" s="289" t="str">
        <f>Data!A12</f>
        <v>B</v>
      </c>
      <c r="B36" s="300"/>
      <c r="C36" s="301">
        <f t="shared" si="16"/>
        <v>1</v>
      </c>
      <c r="E36" s="292">
        <f>Data!$B12*Data!H12*$C36</f>
        <v>5</v>
      </c>
      <c r="F36" s="292">
        <f>Data!$B12*Data!D12*$C36</f>
        <v>-25</v>
      </c>
      <c r="G36" s="292">
        <f>Data!$B12*Data!E12*$C36</f>
        <v>0</v>
      </c>
      <c r="H36" s="292">
        <f>Data!$B12*Data!F12*$C36</f>
        <v>50</v>
      </c>
      <c r="I36" s="293" t="str">
        <f t="shared" si="17"/>
        <v>B.a</v>
      </c>
      <c r="J36" s="292">
        <f t="shared" si="18"/>
        <v>5</v>
      </c>
      <c r="K36" s="292">
        <f t="shared" si="18"/>
        <v>5</v>
      </c>
      <c r="L36" s="292">
        <f t="shared" si="19"/>
        <v>-25</v>
      </c>
      <c r="M36" s="292">
        <f t="shared" si="20"/>
        <v>0</v>
      </c>
      <c r="N36" s="293" t="str">
        <f t="shared" si="21"/>
        <v>B.b</v>
      </c>
      <c r="O36" s="292">
        <f t="shared" si="22"/>
        <v>5</v>
      </c>
      <c r="P36" s="292">
        <f t="shared" si="22"/>
        <v>5</v>
      </c>
      <c r="Q36" s="292">
        <f t="shared" si="23"/>
        <v>0</v>
      </c>
      <c r="R36" s="292">
        <f t="shared" si="24"/>
        <v>50</v>
      </c>
      <c r="T36" s="279">
        <f t="shared" ref="T36:T44" si="27">+T35+1</f>
        <v>25</v>
      </c>
      <c r="U36" s="279">
        <f t="shared" ref="U36" si="28">+U35+2</f>
        <v>51</v>
      </c>
      <c r="V36" s="279">
        <f t="shared" si="25"/>
        <v>52</v>
      </c>
      <c r="W36" s="279" t="str">
        <f t="shared" si="26"/>
        <v>51 &amp; 52</v>
      </c>
    </row>
    <row r="37" spans="1:23" s="290" customFormat="1">
      <c r="A37" s="289" t="str">
        <f>Data!A13</f>
        <v>C</v>
      </c>
      <c r="B37" s="300"/>
      <c r="C37" s="301">
        <f t="shared" si="16"/>
        <v>1</v>
      </c>
      <c r="E37" s="292">
        <f>Data!$B13*Data!H13*$C37</f>
        <v>14</v>
      </c>
      <c r="F37" s="292">
        <f>Data!$B13*Data!D13*$C37</f>
        <v>-50</v>
      </c>
      <c r="G37" s="292">
        <f>Data!$B13*Data!E13*$C37</f>
        <v>10</v>
      </c>
      <c r="H37" s="292">
        <f>Data!$B13*Data!F13*$C37</f>
        <v>90</v>
      </c>
      <c r="I37" s="293" t="str">
        <f t="shared" si="17"/>
        <v>C.a</v>
      </c>
      <c r="J37" s="292">
        <f t="shared" si="18"/>
        <v>14</v>
      </c>
      <c r="K37" s="292">
        <f t="shared" si="18"/>
        <v>14</v>
      </c>
      <c r="L37" s="292">
        <f t="shared" si="19"/>
        <v>-50</v>
      </c>
      <c r="M37" s="292">
        <f t="shared" si="20"/>
        <v>10</v>
      </c>
      <c r="N37" s="293" t="str">
        <f t="shared" si="21"/>
        <v>C.b</v>
      </c>
      <c r="O37" s="292">
        <f t="shared" si="22"/>
        <v>14</v>
      </c>
      <c r="P37" s="292">
        <f t="shared" si="22"/>
        <v>14</v>
      </c>
      <c r="Q37" s="292">
        <f t="shared" si="23"/>
        <v>10</v>
      </c>
      <c r="R37" s="292">
        <f t="shared" si="24"/>
        <v>90</v>
      </c>
      <c r="T37" s="279">
        <f t="shared" si="27"/>
        <v>26</v>
      </c>
      <c r="U37" s="279">
        <f>+U36+2</f>
        <v>53</v>
      </c>
      <c r="V37" s="279">
        <f t="shared" si="25"/>
        <v>54</v>
      </c>
      <c r="W37" s="279" t="str">
        <f t="shared" si="26"/>
        <v>53 &amp; 54</v>
      </c>
    </row>
    <row r="38" spans="1:23" s="290" customFormat="1">
      <c r="A38" s="289" t="str">
        <f>Data!A14</f>
        <v>D</v>
      </c>
      <c r="B38" s="300"/>
      <c r="C38" s="301">
        <f t="shared" si="16"/>
        <v>1</v>
      </c>
      <c r="E38" s="292">
        <f>Data!$B14*Data!H14*$C38</f>
        <v>8.5</v>
      </c>
      <c r="F38" s="292">
        <f>Data!$B14*Data!D14*$C38</f>
        <v>-5</v>
      </c>
      <c r="G38" s="292">
        <f>Data!$B14*Data!E14*$C38</f>
        <v>10</v>
      </c>
      <c r="H38" s="292">
        <f>Data!$B14*Data!F14*$C38</f>
        <v>17.5</v>
      </c>
      <c r="I38" s="293" t="str">
        <f t="shared" si="17"/>
        <v>D.a</v>
      </c>
      <c r="J38" s="292">
        <f t="shared" si="18"/>
        <v>8.5</v>
      </c>
      <c r="K38" s="292">
        <f t="shared" si="18"/>
        <v>8.5</v>
      </c>
      <c r="L38" s="292">
        <f t="shared" si="19"/>
        <v>-5</v>
      </c>
      <c r="M38" s="292">
        <f t="shared" si="20"/>
        <v>10</v>
      </c>
      <c r="N38" s="293" t="str">
        <f t="shared" si="21"/>
        <v>D.b</v>
      </c>
      <c r="O38" s="292">
        <f t="shared" si="22"/>
        <v>8.5</v>
      </c>
      <c r="P38" s="292">
        <f t="shared" si="22"/>
        <v>8.5</v>
      </c>
      <c r="Q38" s="292">
        <f t="shared" si="23"/>
        <v>10</v>
      </c>
      <c r="R38" s="292">
        <f t="shared" si="24"/>
        <v>17.5</v>
      </c>
      <c r="T38" s="279">
        <f t="shared" si="27"/>
        <v>27</v>
      </c>
      <c r="U38" s="279">
        <f t="shared" ref="U38:U44" si="29">+U37+2</f>
        <v>55</v>
      </c>
      <c r="V38" s="279">
        <f t="shared" si="25"/>
        <v>56</v>
      </c>
      <c r="W38" s="279" t="str">
        <f t="shared" si="26"/>
        <v>55 &amp; 56</v>
      </c>
    </row>
    <row r="39" spans="1:23" s="290" customFormat="1">
      <c r="A39" s="289" t="str">
        <f>Data!A15</f>
        <v>E</v>
      </c>
      <c r="B39" s="300"/>
      <c r="C39" s="301">
        <f t="shared" si="16"/>
        <v>1</v>
      </c>
      <c r="E39" s="292">
        <f>Data!$B15*Data!H15*$C39</f>
        <v>-4</v>
      </c>
      <c r="F39" s="292">
        <f>Data!$B15*Data!D15*$C39</f>
        <v>-15</v>
      </c>
      <c r="G39" s="292">
        <f>Data!$B15*Data!E15*$C39</f>
        <v>-5</v>
      </c>
      <c r="H39" s="292">
        <f>Data!$B15*Data!F15*$C39</f>
        <v>10</v>
      </c>
      <c r="I39" s="293" t="str">
        <f t="shared" si="17"/>
        <v>E.a</v>
      </c>
      <c r="J39" s="292">
        <f t="shared" si="18"/>
        <v>-4</v>
      </c>
      <c r="K39" s="292">
        <f t="shared" si="18"/>
        <v>-4</v>
      </c>
      <c r="L39" s="292">
        <f t="shared" si="19"/>
        <v>-15</v>
      </c>
      <c r="M39" s="292">
        <f t="shared" si="20"/>
        <v>-5</v>
      </c>
      <c r="N39" s="293" t="str">
        <f t="shared" si="21"/>
        <v>E.b</v>
      </c>
      <c r="O39" s="292">
        <f t="shared" si="22"/>
        <v>-4</v>
      </c>
      <c r="P39" s="292">
        <f t="shared" si="22"/>
        <v>-4</v>
      </c>
      <c r="Q39" s="292">
        <f t="shared" si="23"/>
        <v>-5</v>
      </c>
      <c r="R39" s="292">
        <f t="shared" si="24"/>
        <v>10</v>
      </c>
      <c r="T39" s="279">
        <f t="shared" si="27"/>
        <v>28</v>
      </c>
      <c r="U39" s="279">
        <f t="shared" si="29"/>
        <v>57</v>
      </c>
      <c r="V39" s="279">
        <f t="shared" si="25"/>
        <v>58</v>
      </c>
      <c r="W39" s="279" t="str">
        <f t="shared" si="26"/>
        <v>57 &amp; 58</v>
      </c>
    </row>
    <row r="40" spans="1:23" s="290" customFormat="1">
      <c r="A40" s="289" t="str">
        <f>Data!A16</f>
        <v>F</v>
      </c>
      <c r="B40" s="300"/>
      <c r="C40" s="301">
        <f t="shared" si="16"/>
        <v>1</v>
      </c>
      <c r="E40" s="292">
        <f>Data!$B16*Data!H16*$C40</f>
        <v>16</v>
      </c>
      <c r="F40" s="292">
        <f>Data!$B16*Data!D16*$C40</f>
        <v>-25</v>
      </c>
      <c r="G40" s="292">
        <f>Data!$B16*Data!E16*$C40</f>
        <v>10</v>
      </c>
      <c r="H40" s="292">
        <f>Data!$B16*Data!F16*$C40</f>
        <v>75</v>
      </c>
      <c r="I40" s="293" t="str">
        <f t="shared" si="17"/>
        <v>F.a</v>
      </c>
      <c r="J40" s="292">
        <f t="shared" si="18"/>
        <v>16</v>
      </c>
      <c r="K40" s="292">
        <f t="shared" si="18"/>
        <v>16</v>
      </c>
      <c r="L40" s="292">
        <f t="shared" si="19"/>
        <v>-25</v>
      </c>
      <c r="M40" s="292">
        <f t="shared" si="20"/>
        <v>10</v>
      </c>
      <c r="N40" s="293" t="str">
        <f t="shared" si="21"/>
        <v>F.b</v>
      </c>
      <c r="O40" s="292">
        <f t="shared" si="22"/>
        <v>16</v>
      </c>
      <c r="P40" s="292">
        <f t="shared" si="22"/>
        <v>16</v>
      </c>
      <c r="Q40" s="292">
        <f t="shared" si="23"/>
        <v>10</v>
      </c>
      <c r="R40" s="292">
        <f t="shared" si="24"/>
        <v>75</v>
      </c>
      <c r="T40" s="279">
        <f t="shared" si="27"/>
        <v>29</v>
      </c>
      <c r="U40" s="279">
        <f t="shared" si="29"/>
        <v>59</v>
      </c>
      <c r="V40" s="279">
        <f t="shared" si="25"/>
        <v>60</v>
      </c>
      <c r="W40" s="279" t="str">
        <f t="shared" si="26"/>
        <v>59 &amp; 60</v>
      </c>
    </row>
    <row r="41" spans="1:23" s="290" customFormat="1">
      <c r="A41" s="289" t="str">
        <f>Data!A17</f>
        <v>G</v>
      </c>
      <c r="B41" s="300"/>
      <c r="C41" s="301">
        <f t="shared" si="16"/>
        <v>1</v>
      </c>
      <c r="E41" s="292">
        <f>Data!$B17*Data!H17*$C41</f>
        <v>6</v>
      </c>
      <c r="F41" s="292">
        <f>Data!$B17*Data!D17*$C41</f>
        <v>-10</v>
      </c>
      <c r="G41" s="292">
        <f>Data!$B17*Data!E17*$C41</f>
        <v>5</v>
      </c>
      <c r="H41" s="292">
        <f>Data!$B17*Data!F17*$C41</f>
        <v>25</v>
      </c>
      <c r="I41" s="293" t="str">
        <f t="shared" si="17"/>
        <v>G.a</v>
      </c>
      <c r="J41" s="292">
        <f t="shared" si="18"/>
        <v>6</v>
      </c>
      <c r="K41" s="292">
        <f t="shared" si="18"/>
        <v>6</v>
      </c>
      <c r="L41" s="292">
        <f t="shared" si="19"/>
        <v>-10</v>
      </c>
      <c r="M41" s="292">
        <f t="shared" si="20"/>
        <v>5</v>
      </c>
      <c r="N41" s="293" t="str">
        <f t="shared" si="21"/>
        <v>G.b</v>
      </c>
      <c r="O41" s="292">
        <f t="shared" si="22"/>
        <v>6</v>
      </c>
      <c r="P41" s="292">
        <f t="shared" si="22"/>
        <v>6</v>
      </c>
      <c r="Q41" s="292">
        <f t="shared" si="23"/>
        <v>5</v>
      </c>
      <c r="R41" s="292">
        <f t="shared" si="24"/>
        <v>25</v>
      </c>
      <c r="T41" s="279">
        <f t="shared" si="27"/>
        <v>30</v>
      </c>
      <c r="U41" s="279">
        <f t="shared" si="29"/>
        <v>61</v>
      </c>
      <c r="V41" s="279">
        <f t="shared" si="25"/>
        <v>62</v>
      </c>
      <c r="W41" s="279" t="str">
        <f t="shared" si="26"/>
        <v>61 &amp; 62</v>
      </c>
    </row>
    <row r="42" spans="1:23" s="290" customFormat="1">
      <c r="A42" s="289" t="str">
        <f>Data!A18</f>
        <v>H</v>
      </c>
      <c r="B42" s="300"/>
      <c r="C42" s="301">
        <f t="shared" si="16"/>
        <v>1</v>
      </c>
      <c r="E42" s="292">
        <f>Data!$B18*Data!H18*$C42</f>
        <v>19</v>
      </c>
      <c r="F42" s="292">
        <f>Data!$B18*Data!D18*$C42</f>
        <v>-25</v>
      </c>
      <c r="G42" s="292">
        <f>Data!$B18*Data!E18*$C42</f>
        <v>15</v>
      </c>
      <c r="H42" s="292">
        <f>Data!$B18*Data!F18*$C42</f>
        <v>75</v>
      </c>
      <c r="I42" s="293" t="str">
        <f t="shared" si="17"/>
        <v>H.a</v>
      </c>
      <c r="J42" s="292">
        <f t="shared" si="18"/>
        <v>19</v>
      </c>
      <c r="K42" s="292">
        <f t="shared" si="18"/>
        <v>19</v>
      </c>
      <c r="L42" s="292">
        <f t="shared" si="19"/>
        <v>-25</v>
      </c>
      <c r="M42" s="292">
        <f t="shared" si="20"/>
        <v>15</v>
      </c>
      <c r="N42" s="293" t="str">
        <f t="shared" si="21"/>
        <v>H.b</v>
      </c>
      <c r="O42" s="292">
        <f t="shared" si="22"/>
        <v>19</v>
      </c>
      <c r="P42" s="292">
        <f t="shared" si="22"/>
        <v>19</v>
      </c>
      <c r="Q42" s="292">
        <f t="shared" si="23"/>
        <v>15</v>
      </c>
      <c r="R42" s="292">
        <f t="shared" si="24"/>
        <v>75</v>
      </c>
      <c r="T42" s="279">
        <f t="shared" si="27"/>
        <v>31</v>
      </c>
      <c r="U42" s="279">
        <f t="shared" si="29"/>
        <v>63</v>
      </c>
      <c r="V42" s="279">
        <f t="shared" si="25"/>
        <v>64</v>
      </c>
      <c r="W42" s="279" t="str">
        <f t="shared" si="26"/>
        <v>63 &amp; 64</v>
      </c>
    </row>
    <row r="43" spans="1:23" s="290" customFormat="1">
      <c r="A43" s="289" t="str">
        <f>Data!A19</f>
        <v>I</v>
      </c>
      <c r="B43" s="300"/>
      <c r="C43" s="301">
        <f t="shared" si="16"/>
        <v>1</v>
      </c>
      <c r="E43" s="292">
        <f>Data!$B19*Data!H19*$C43</f>
        <v>11</v>
      </c>
      <c r="F43" s="292">
        <f>Data!$B19*Data!D19*$C43</f>
        <v>-25</v>
      </c>
      <c r="G43" s="292">
        <f>Data!$B19*Data!E19*$C43</f>
        <v>10</v>
      </c>
      <c r="H43" s="292">
        <f>Data!$B19*Data!F19*$C43</f>
        <v>50</v>
      </c>
      <c r="I43" s="293" t="str">
        <f t="shared" si="17"/>
        <v>I.a</v>
      </c>
      <c r="J43" s="292">
        <f t="shared" si="18"/>
        <v>11</v>
      </c>
      <c r="K43" s="292">
        <f t="shared" si="18"/>
        <v>11</v>
      </c>
      <c r="L43" s="292">
        <f t="shared" si="19"/>
        <v>-25</v>
      </c>
      <c r="M43" s="292">
        <f t="shared" si="20"/>
        <v>10</v>
      </c>
      <c r="N43" s="293" t="str">
        <f t="shared" si="21"/>
        <v>I.b</v>
      </c>
      <c r="O43" s="292">
        <f t="shared" si="22"/>
        <v>11</v>
      </c>
      <c r="P43" s="292">
        <f t="shared" si="22"/>
        <v>11</v>
      </c>
      <c r="Q43" s="292">
        <f t="shared" si="23"/>
        <v>10</v>
      </c>
      <c r="R43" s="292">
        <f t="shared" si="24"/>
        <v>50</v>
      </c>
      <c r="T43" s="279">
        <f t="shared" si="27"/>
        <v>32</v>
      </c>
      <c r="U43" s="279">
        <f t="shared" si="29"/>
        <v>65</v>
      </c>
      <c r="V43" s="279">
        <f t="shared" si="25"/>
        <v>66</v>
      </c>
      <c r="W43" s="279" t="str">
        <f t="shared" si="26"/>
        <v>65 &amp; 66</v>
      </c>
    </row>
    <row r="44" spans="1:23" s="290" customFormat="1">
      <c r="A44" s="289" t="str">
        <f>Data!A20</f>
        <v>J</v>
      </c>
      <c r="B44" s="300"/>
      <c r="C44" s="301">
        <f t="shared" si="16"/>
        <v>1</v>
      </c>
      <c r="E44" s="292">
        <f>Data!$B20*Data!H20*$C44</f>
        <v>17</v>
      </c>
      <c r="F44" s="292">
        <f>Data!$B20*Data!D20*$C44</f>
        <v>5</v>
      </c>
      <c r="G44" s="292">
        <f>Data!$B20*Data!E20*$C44</f>
        <v>15</v>
      </c>
      <c r="H44" s="292">
        <f>Data!$B20*Data!F20*$C44</f>
        <v>35</v>
      </c>
      <c r="I44" s="293" t="str">
        <f t="shared" si="17"/>
        <v>J.a</v>
      </c>
      <c r="J44" s="292">
        <f t="shared" si="18"/>
        <v>17</v>
      </c>
      <c r="K44" s="292">
        <f t="shared" si="18"/>
        <v>17</v>
      </c>
      <c r="L44" s="292">
        <f t="shared" si="19"/>
        <v>5</v>
      </c>
      <c r="M44" s="292">
        <f t="shared" si="20"/>
        <v>15</v>
      </c>
      <c r="N44" s="293" t="str">
        <f t="shared" si="21"/>
        <v>J.b</v>
      </c>
      <c r="O44" s="292">
        <f t="shared" si="22"/>
        <v>17</v>
      </c>
      <c r="P44" s="292">
        <f t="shared" si="22"/>
        <v>17</v>
      </c>
      <c r="Q44" s="292">
        <f t="shared" si="23"/>
        <v>15</v>
      </c>
      <c r="R44" s="292">
        <f t="shared" si="24"/>
        <v>35</v>
      </c>
      <c r="T44" s="279">
        <f t="shared" si="27"/>
        <v>33</v>
      </c>
      <c r="U44" s="279">
        <f t="shared" si="29"/>
        <v>67</v>
      </c>
      <c r="V44" s="279">
        <f t="shared" si="25"/>
        <v>68</v>
      </c>
      <c r="W44" s="279" t="str">
        <f t="shared" si="26"/>
        <v>67 &amp; 68</v>
      </c>
    </row>
    <row r="45" spans="1:23" s="290" customFormat="1">
      <c r="A45" s="352" t="str">
        <f>Data!A21</f>
        <v>K</v>
      </c>
      <c r="B45" s="353"/>
      <c r="C45" s="354">
        <f t="shared" si="16"/>
        <v>1</v>
      </c>
      <c r="E45" s="292">
        <f>Data!$B21*Data!H21*$C45</f>
        <v>4</v>
      </c>
      <c r="F45" s="292">
        <f>Data!$B21*Data!D21*$C45</f>
        <v>-5</v>
      </c>
      <c r="G45" s="292">
        <f>Data!$B21*Data!E21*$C45</f>
        <v>0</v>
      </c>
      <c r="H45" s="292">
        <f>Data!$B21*Data!F21*$C45</f>
        <v>25</v>
      </c>
      <c r="I45" s="293" t="str">
        <f t="shared" si="17"/>
        <v>K.a</v>
      </c>
      <c r="J45" s="292">
        <f t="shared" si="18"/>
        <v>4</v>
      </c>
      <c r="K45" s="292">
        <f t="shared" si="18"/>
        <v>4</v>
      </c>
      <c r="L45" s="292">
        <f t="shared" si="19"/>
        <v>-5</v>
      </c>
      <c r="M45" s="292">
        <f t="shared" si="20"/>
        <v>0</v>
      </c>
      <c r="N45" s="293" t="str">
        <f t="shared" si="21"/>
        <v>K.b</v>
      </c>
      <c r="O45" s="292">
        <f t="shared" si="22"/>
        <v>4</v>
      </c>
      <c r="P45" s="292">
        <f t="shared" si="22"/>
        <v>4</v>
      </c>
      <c r="Q45" s="292">
        <f t="shared" si="23"/>
        <v>0</v>
      </c>
      <c r="R45" s="292">
        <f t="shared" si="24"/>
        <v>25</v>
      </c>
      <c r="S45" s="279"/>
      <c r="T45" s="279"/>
      <c r="U45" s="279"/>
    </row>
    <row r="46" spans="1:23" s="290" customFormat="1">
      <c r="A46" s="352" t="str">
        <f>Data!A22</f>
        <v>Z</v>
      </c>
      <c r="B46" s="355"/>
      <c r="C46" s="354">
        <f t="shared" si="16"/>
        <v>1</v>
      </c>
      <c r="E46" s="292">
        <f>Data!$B22*Data!H22*$C46</f>
        <v>10</v>
      </c>
      <c r="F46" s="292">
        <f>Data!$B22*Data!D22*$C46</f>
        <v>-15</v>
      </c>
      <c r="G46" s="292">
        <f>Data!$B22*Data!E22*$C46</f>
        <v>10</v>
      </c>
      <c r="H46" s="292">
        <f>Data!$B22*Data!F22*$C46</f>
        <v>35</v>
      </c>
      <c r="I46" s="293" t="str">
        <f t="shared" si="17"/>
        <v>Z.a</v>
      </c>
      <c r="J46" s="292">
        <f t="shared" si="18"/>
        <v>10</v>
      </c>
      <c r="K46" s="292">
        <f t="shared" si="18"/>
        <v>10</v>
      </c>
      <c r="L46" s="292">
        <f t="shared" si="19"/>
        <v>-15</v>
      </c>
      <c r="M46" s="292">
        <f t="shared" si="20"/>
        <v>10</v>
      </c>
      <c r="N46" s="293" t="str">
        <f t="shared" si="21"/>
        <v>Z.b</v>
      </c>
      <c r="O46" s="292">
        <f t="shared" si="22"/>
        <v>10</v>
      </c>
      <c r="P46" s="292">
        <f t="shared" si="22"/>
        <v>10</v>
      </c>
      <c r="Q46" s="292">
        <f t="shared" si="23"/>
        <v>10</v>
      </c>
      <c r="R46" s="292">
        <f t="shared" si="24"/>
        <v>35</v>
      </c>
      <c r="S46" s="302"/>
    </row>
    <row r="47" spans="1:23" s="290" customFormat="1">
      <c r="R47" s="302"/>
      <c r="S47" s="302"/>
    </row>
    <row r="48" spans="1:23" s="290" customFormat="1">
      <c r="E48" s="296" t="s">
        <v>113</v>
      </c>
      <c r="R48" s="302"/>
      <c r="S48" s="302"/>
    </row>
    <row r="49" spans="3:19" s="290" customFormat="1">
      <c r="E49" s="299" t="s">
        <v>120</v>
      </c>
      <c r="F49" s="299" t="s">
        <v>121</v>
      </c>
      <c r="G49" s="299" t="s">
        <v>122</v>
      </c>
      <c r="R49" s="302"/>
      <c r="S49" s="302"/>
    </row>
    <row r="50" spans="3:19" s="290" customFormat="1">
      <c r="C50" s="296" t="s">
        <v>102</v>
      </c>
      <c r="E50" s="292">
        <f>+GU_Sum_Costs</f>
        <v>-4</v>
      </c>
      <c r="F50" s="292" t="e">
        <f>+GrandTotal_Costs</f>
        <v>#REF!</v>
      </c>
      <c r="G50" s="307">
        <f>+IF(TF_Include=1,100%+J50,100%)</f>
        <v>1</v>
      </c>
      <c r="H50" s="308" t="s">
        <v>114</v>
      </c>
      <c r="I50" s="307">
        <f>+dTF_Plus</f>
        <v>1.4073011928526982</v>
      </c>
      <c r="J50" s="361" t="e">
        <f>+GU_Sum_Costs/(GrandTotal_Cost)</f>
        <v>#NAME?</v>
      </c>
      <c r="K50" s="362" t="s">
        <v>123</v>
      </c>
      <c r="R50" s="302"/>
      <c r="S50" s="302"/>
    </row>
    <row r="51" spans="3:19" s="290" customFormat="1">
      <c r="C51" s="296" t="s">
        <v>103</v>
      </c>
      <c r="E51" s="292">
        <f>+GU_Sum_Income</f>
        <v>124.5</v>
      </c>
      <c r="F51" s="292" t="e">
        <f>+GrandTotal_Income</f>
        <v>#REF!</v>
      </c>
      <c r="G51" s="307">
        <f>+IF(TF_Include=1,100%+J51,100%)</f>
        <v>1</v>
      </c>
      <c r="H51" s="309" t="s">
        <v>115</v>
      </c>
      <c r="I51" s="307">
        <f>+dTF_Minus</f>
        <v>1</v>
      </c>
      <c r="J51" s="361" t="e">
        <f>+GU_Sum_Income/(GrandTotal_Income)</f>
        <v>#REF!</v>
      </c>
      <c r="K51" s="362" t="s">
        <v>123</v>
      </c>
      <c r="R51" s="302"/>
      <c r="S51" s="302"/>
    </row>
    <row r="52" spans="3:19" s="290" customFormat="1">
      <c r="G52" s="292"/>
      <c r="R52" s="302"/>
      <c r="S52" s="302"/>
    </row>
    <row r="53" spans="3:19" s="290" customFormat="1">
      <c r="C53" s="296" t="s">
        <v>116</v>
      </c>
      <c r="H53" s="296"/>
      <c r="R53" s="302"/>
      <c r="S53" s="302"/>
    </row>
    <row r="54" spans="3:19" s="290" customFormat="1">
      <c r="C54" s="290" t="str">
        <f>+_xlfn.CONCAT(A33," &amp; ",A3)</f>
        <v>General Uncertainties &amp; Tasks</v>
      </c>
      <c r="R54" s="302"/>
      <c r="S54" s="302"/>
    </row>
    <row r="55" spans="3:19" s="290" customFormat="1">
      <c r="C55" s="290" t="str">
        <f>+_xlfn.CONCAT("Mean= ",TEXT($D$28,"#.##0,0"))</f>
        <v>Mean= 0,0</v>
      </c>
      <c r="R55" s="302"/>
      <c r="S55" s="302"/>
    </row>
    <row r="56" spans="3:19" s="290" customFormat="1">
      <c r="C56" s="290" t="str">
        <f>+_xlfn.CONCAT(A33,CHAR(10),A3)</f>
        <v>General Uncertainties
Tasks</v>
      </c>
      <c r="R56" s="302"/>
      <c r="S56" s="302"/>
    </row>
    <row r="57" spans="3:19" s="290" customFormat="1">
      <c r="R57" s="302"/>
      <c r="S57" s="302"/>
    </row>
    <row r="58" spans="3:19" s="290" customFormat="1">
      <c r="C58" s="290" t="str">
        <f>+_xlfn.CONCAT("TF(",F58,")= ",TEXT($I$51*100,"#0,0"),"%")</f>
        <v>TF(Not actual)= 100,0%</v>
      </c>
      <c r="F58" s="290" t="str">
        <f>+IF(ABS(Task_Sum_Costs)&gt;0,Data!L175,Data!M175)</f>
        <v>Not actual</v>
      </c>
      <c r="R58" s="302"/>
      <c r="S58" s="302"/>
    </row>
    <row r="59" spans="3:19" s="290" customFormat="1">
      <c r="C59" s="290" t="str">
        <f>+_xlfn.CONCAT("TF(",F59,")= ",TEXT($I$50*100,"#0,0"),"%")</f>
        <v>TF(Consume)= 140,7%</v>
      </c>
      <c r="F59" s="290" t="str">
        <f>+IF(ABS(Task_Sum_Income)&gt;0,Data!L176,_xlfn.CONCAT("No ",Data!L176))</f>
        <v>Consume</v>
      </c>
      <c r="R59" s="302"/>
      <c r="S59" s="302"/>
    </row>
    <row r="60" spans="3:19" s="290" customFormat="1">
      <c r="R60" s="302"/>
      <c r="S60" s="302"/>
    </row>
    <row r="61" spans="3:19" s="290" customFormat="1">
      <c r="C61" s="290" t="str">
        <f>+_xlfn.CONCAT(A33," &amp; ",A3)</f>
        <v>General Uncertainties &amp; Tasks</v>
      </c>
      <c r="R61" s="302"/>
      <c r="S61" s="302"/>
    </row>
    <row r="62" spans="3:19">
      <c r="C62" s="290" t="str">
        <f>+_xlfn.CONCAT(A33, "",CHAR(10),C59,CHAR(10),,C58)</f>
        <v>General Uncertainties
TF(Consume)= 140,7%
TF(Not actual)= 100,0%</v>
      </c>
      <c r="I62" s="290"/>
      <c r="J62" s="290"/>
      <c r="K62" s="290"/>
    </row>
    <row r="63" spans="3:19">
      <c r="C63" s="290" t="str">
        <f>+_xlfn.CONCAT(C61, CHAR(10),C62)</f>
        <v>General Uncertainties &amp; Tasks
General Uncertainties
TF(Consume)= 140,7%
TF(Not actual)= 100,0%</v>
      </c>
      <c r="I63" s="290"/>
      <c r="J63" s="290"/>
      <c r="K63" s="290"/>
    </row>
    <row r="64" spans="3:19">
      <c r="I64" s="290"/>
      <c r="J64" s="290"/>
      <c r="K64" s="290"/>
    </row>
    <row r="65" spans="2:11">
      <c r="C65" s="274" t="str">
        <f ca="1">MID(CELL("filename",A1),FIND("[",CELL("filename",A1))+1,FIND("]", CELL("filename",A1))-FIND("[",CELL("filename",A1))-1)</f>
        <v>early-quality-assuring-construction-project_2024-11-19a.xlsx</v>
      </c>
      <c r="I65" s="290"/>
      <c r="J65" s="290"/>
      <c r="K65" s="290"/>
    </row>
    <row r="66" spans="2:11">
      <c r="B66" s="290"/>
    </row>
    <row r="67" spans="2:11">
      <c r="B67" s="290"/>
      <c r="C67" s="290"/>
    </row>
    <row r="68" spans="2:11">
      <c r="B68" s="290"/>
      <c r="C68" s="290"/>
    </row>
    <row r="69" spans="2:11">
      <c r="B69" s="290"/>
      <c r="C69" s="290"/>
    </row>
    <row r="70" spans="2:11">
      <c r="B70" s="290"/>
      <c r="C70" s="290"/>
    </row>
    <row r="71" spans="2:11">
      <c r="B71" s="290"/>
      <c r="C71" s="290"/>
    </row>
    <row r="72" spans="2:11">
      <c r="B72" s="290"/>
      <c r="C72" s="290"/>
    </row>
    <row r="73" spans="2:11">
      <c r="B73" s="290"/>
      <c r="C73" s="290"/>
    </row>
    <row r="74" spans="2:11">
      <c r="B74" s="290"/>
      <c r="C74" s="290"/>
    </row>
    <row r="75" spans="2:11">
      <c r="B75" s="290"/>
      <c r="C75" s="290"/>
    </row>
    <row r="76" spans="2:11">
      <c r="B76" s="290"/>
      <c r="C76" s="290"/>
    </row>
    <row r="77" spans="2:11">
      <c r="B77" s="310"/>
      <c r="C77" s="310"/>
      <c r="D77" s="310"/>
      <c r="E77" s="310"/>
    </row>
  </sheetData>
  <pageMargins left="0.7" right="0.7" top="0.75" bottom="0.75" header="0.3" footer="0.3"/>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S30"/>
  <sheetViews>
    <sheetView zoomScale="75" workbookViewId="0">
      <pane ySplit="5" topLeftCell="A6" activePane="bottomLeft" state="frozen"/>
      <selection pane="bottomLeft" activeCell="E29" sqref="E29"/>
    </sheetView>
  </sheetViews>
  <sheetFormatPr defaultColWidth="9.07421875" defaultRowHeight="14.15"/>
  <cols>
    <col min="1" max="1" width="10.07421875" style="139" customWidth="1"/>
    <col min="2" max="2" width="8.53515625" style="140" customWidth="1"/>
    <col min="3" max="3" width="11.3046875" style="140" customWidth="1"/>
    <col min="4" max="4" width="18.69140625" style="140" customWidth="1"/>
    <col min="5" max="5" width="9.3046875" style="139" bestFit="1" customWidth="1"/>
    <col min="6" max="6" width="9.53515625" style="139" bestFit="1" customWidth="1"/>
    <col min="7" max="7" width="13.23046875" style="139" customWidth="1"/>
    <col min="8" max="8" width="9.4609375" style="139" customWidth="1"/>
    <col min="9" max="9" width="10.53515625" style="139" bestFit="1" customWidth="1"/>
    <col min="10" max="10" width="10.07421875" style="139" customWidth="1"/>
    <col min="11" max="11" width="9.3046875" style="139" bestFit="1" customWidth="1"/>
    <col min="12" max="12" width="10.4609375" style="139" customWidth="1"/>
    <col min="13" max="13" width="11.84375" style="139" customWidth="1"/>
    <col min="14" max="14" width="12.3046875" style="139" customWidth="1"/>
    <col min="15" max="16" width="9.3046875" style="139" bestFit="1" customWidth="1"/>
    <col min="17" max="17" width="9.3046875" style="23" bestFit="1" customWidth="1"/>
    <col min="18" max="18" width="13.84375" style="23" bestFit="1" customWidth="1"/>
    <col min="19" max="16384" width="9.07421875" style="23"/>
  </cols>
  <sheetData>
    <row r="1" spans="1:19" s="25" customFormat="1">
      <c r="A1" s="139"/>
      <c r="B1" s="140"/>
      <c r="C1" s="140"/>
      <c r="D1" s="140"/>
      <c r="E1" s="139"/>
      <c r="F1" s="141" t="s">
        <v>11</v>
      </c>
      <c r="G1" s="141" t="s">
        <v>12</v>
      </c>
      <c r="H1" s="141" t="s">
        <v>13</v>
      </c>
      <c r="I1" s="141" t="s">
        <v>14</v>
      </c>
      <c r="J1" s="139"/>
      <c r="K1" s="141" t="s">
        <v>25</v>
      </c>
      <c r="L1" s="141" t="s">
        <v>26</v>
      </c>
      <c r="M1" s="141" t="s">
        <v>25</v>
      </c>
      <c r="N1" s="141" t="s">
        <v>26</v>
      </c>
      <c r="O1" s="139"/>
      <c r="P1" s="141" t="s">
        <v>64</v>
      </c>
      <c r="Q1" s="141" t="s">
        <v>65</v>
      </c>
      <c r="R1" s="141" t="s">
        <v>66</v>
      </c>
      <c r="S1" s="141" t="s">
        <v>67</v>
      </c>
    </row>
    <row r="2" spans="1:19" s="25" customFormat="1">
      <c r="A2" s="139"/>
      <c r="B2" s="140"/>
      <c r="C2" s="142">
        <f>Data!$J$73</f>
        <v>1.0364333894937898</v>
      </c>
      <c r="D2" s="140"/>
      <c r="E2" s="139"/>
      <c r="F2" s="139">
        <f>GrandTotal</f>
        <v>493.96029029999994</v>
      </c>
      <c r="G2" s="156">
        <v>0</v>
      </c>
      <c r="H2" s="139">
        <v>0</v>
      </c>
      <c r="I2" s="156">
        <v>0.5</v>
      </c>
      <c r="J2" s="139"/>
      <c r="K2" s="139">
        <v>0</v>
      </c>
      <c r="L2" s="156">
        <f>+$L$3</f>
        <v>0.85</v>
      </c>
      <c r="M2" s="139">
        <f>+$K$3</f>
        <v>556.78901045402722</v>
      </c>
      <c r="N2" s="156">
        <v>0</v>
      </c>
      <c r="O2" s="139"/>
      <c r="P2" s="139">
        <v>0</v>
      </c>
      <c r="Q2" s="189">
        <f>+Data!$D$76</f>
        <v>0.95</v>
      </c>
      <c r="R2" s="155">
        <f>+$P$3</f>
        <v>593.67152043756391</v>
      </c>
      <c r="S2" s="156">
        <v>0</v>
      </c>
    </row>
    <row r="3" spans="1:19" s="25" customFormat="1">
      <c r="A3" s="139"/>
      <c r="B3" s="140">
        <v>-3</v>
      </c>
      <c r="C3" s="140"/>
      <c r="D3" s="140" t="s">
        <v>7</v>
      </c>
      <c r="E3" s="139"/>
      <c r="F3" s="139">
        <f>GrandTotal</f>
        <v>493.96029029999994</v>
      </c>
      <c r="G3" s="156">
        <v>0.5</v>
      </c>
      <c r="H3" s="140">
        <f>+F2</f>
        <v>493.96029029999994</v>
      </c>
      <c r="I3" s="156">
        <v>0.5</v>
      </c>
      <c r="J3" s="139"/>
      <c r="K3" s="187">
        <f>+_xlfn.NORM.INV($L$2,GrandTotal,GrandTotal_StDev)</f>
        <v>556.78901045402722</v>
      </c>
      <c r="L3" s="189">
        <f>Data!$D$73</f>
        <v>0.85</v>
      </c>
      <c r="M3" s="139">
        <f>+$K$3</f>
        <v>556.78901045402722</v>
      </c>
      <c r="N3" s="156">
        <f>+$L$3</f>
        <v>0.85</v>
      </c>
      <c r="O3" s="139"/>
      <c r="P3" s="187">
        <f>+_xlfn.NORM.INV($Q$2,GrandTotal,GrandTotal_StDev)</f>
        <v>593.67152043756391</v>
      </c>
      <c r="Q3" s="156">
        <f>+Q2</f>
        <v>0.95</v>
      </c>
      <c r="R3" s="155">
        <f>+R2</f>
        <v>593.67152043756391</v>
      </c>
      <c r="S3" s="156">
        <f>+$Q$3</f>
        <v>0.95</v>
      </c>
    </row>
    <row r="4" spans="1:19" s="25" customFormat="1">
      <c r="A4" s="139"/>
      <c r="B4" s="140">
        <v>0.5</v>
      </c>
      <c r="C4" s="140"/>
      <c r="D4" s="140" t="s">
        <v>8</v>
      </c>
      <c r="E4" s="139"/>
      <c r="F4" s="139"/>
      <c r="G4" s="139"/>
      <c r="H4" s="139"/>
      <c r="I4" s="139"/>
      <c r="J4" s="139"/>
      <c r="K4" s="139" t="s">
        <v>15</v>
      </c>
      <c r="L4" s="139"/>
      <c r="M4" s="139"/>
      <c r="N4" s="139"/>
      <c r="O4" s="139"/>
      <c r="P4" s="139"/>
      <c r="Q4" s="30"/>
      <c r="R4" s="30"/>
    </row>
    <row r="5" spans="1:19" s="25" customFormat="1">
      <c r="A5" s="139"/>
      <c r="B5" s="143">
        <f>+GrandTotal_StDev</f>
        <v>60.620123580458717</v>
      </c>
      <c r="C5" s="140"/>
      <c r="D5" s="140" t="s">
        <v>9</v>
      </c>
      <c r="E5" s="139"/>
      <c r="F5" s="139" t="s">
        <v>10</v>
      </c>
      <c r="G5" s="139"/>
      <c r="H5" s="139"/>
      <c r="I5" s="139"/>
      <c r="J5" s="139"/>
      <c r="K5" s="139"/>
      <c r="L5" s="139"/>
      <c r="M5" s="139"/>
      <c r="N5" s="139"/>
      <c r="O5" s="139"/>
      <c r="P5" s="139"/>
      <c r="Q5" s="30"/>
      <c r="R5" s="30"/>
    </row>
    <row r="6" spans="1:19" s="25" customFormat="1">
      <c r="A6" s="139"/>
      <c r="B6" s="143"/>
      <c r="C6" s="140"/>
      <c r="D6" s="140"/>
      <c r="E6" s="139"/>
      <c r="F6" s="139"/>
      <c r="G6" s="139"/>
      <c r="H6" s="139"/>
      <c r="I6" s="139"/>
      <c r="J6" s="139"/>
      <c r="K6" s="139"/>
      <c r="L6" s="139"/>
      <c r="M6" s="139"/>
      <c r="N6" s="139"/>
      <c r="O6" s="139"/>
      <c r="P6" s="139"/>
      <c r="Q6" s="30"/>
      <c r="R6" s="30"/>
    </row>
    <row r="7" spans="1:19" s="25" customFormat="1">
      <c r="A7" s="139" t="s">
        <v>24</v>
      </c>
      <c r="B7" s="140"/>
      <c r="C7" s="144">
        <f>+Data!$J$73+0.00001</f>
        <v>1.0364433894937899</v>
      </c>
      <c r="D7" s="247">
        <f>+_xlfn.NORM.DIST(C7,0,1,TRUE)</f>
        <v>0.85000233157566996</v>
      </c>
      <c r="E7" s="139"/>
      <c r="F7" s="139" t="s">
        <v>27</v>
      </c>
      <c r="G7" s="139"/>
      <c r="H7" s="139"/>
      <c r="I7" s="139"/>
      <c r="J7" s="139"/>
      <c r="K7" s="139"/>
      <c r="L7" s="139"/>
      <c r="M7" s="139"/>
      <c r="N7" s="139"/>
      <c r="O7" s="139"/>
      <c r="P7" s="188">
        <f>Data!$D$76</f>
        <v>0.95</v>
      </c>
      <c r="Q7" s="30"/>
      <c r="R7" s="30"/>
    </row>
    <row r="8" spans="1:19" s="25" customFormat="1">
      <c r="A8" s="139"/>
      <c r="B8" s="140"/>
      <c r="C8" s="146"/>
      <c r="D8" s="247"/>
      <c r="E8" s="139"/>
      <c r="F8" s="139"/>
      <c r="G8" s="139"/>
      <c r="H8" s="139"/>
      <c r="I8" s="139"/>
      <c r="J8" s="139"/>
      <c r="K8" s="188">
        <v>0.85</v>
      </c>
      <c r="L8" s="249">
        <f>+_xlfn.NORM.INV($K$8,GrandTotal,GrandTotal_StDev)</f>
        <v>556.78901045402722</v>
      </c>
      <c r="M8" s="139"/>
      <c r="N8" s="139"/>
      <c r="O8" s="139"/>
      <c r="P8" s="139"/>
      <c r="Q8" s="30"/>
      <c r="R8" s="30"/>
    </row>
    <row r="9" spans="1:19" s="25" customFormat="1">
      <c r="A9" s="147" t="str">
        <f>+A7</f>
        <v>Search probability</v>
      </c>
      <c r="B9" s="140"/>
      <c r="C9" s="144">
        <v>2.5000100000000001</v>
      </c>
      <c r="D9" s="248">
        <f>+_xlfn.NORM.DIST(C9,0,1,TRUE)</f>
        <v>0.99379050995503782</v>
      </c>
      <c r="E9" s="139"/>
      <c r="F9" s="139"/>
      <c r="G9" s="139"/>
      <c r="H9" s="139"/>
      <c r="I9" s="139"/>
      <c r="J9" s="139"/>
      <c r="K9" s="188">
        <v>0.5</v>
      </c>
      <c r="L9" s="249">
        <f>+_xlfn.NORM.INV($K$9,GrandTotal,GrandTotal_StDev)</f>
        <v>493.96029029999994</v>
      </c>
      <c r="M9" s="139"/>
      <c r="N9" s="139"/>
      <c r="O9" s="139"/>
      <c r="P9" s="139"/>
      <c r="Q9" s="30"/>
      <c r="R9" s="30"/>
    </row>
    <row r="10" spans="1:19" s="25" customFormat="1">
      <c r="A10" s="147" t="str">
        <f>+A7</f>
        <v>Search probability</v>
      </c>
      <c r="B10" s="140"/>
      <c r="C10" s="144">
        <v>-2.4999899999999999</v>
      </c>
      <c r="D10" s="248">
        <f>+_xlfn.NORM.DIST(C10,0,1,TRUE)</f>
        <v>6.2098406109721248E-3</v>
      </c>
      <c r="E10" s="139"/>
      <c r="F10" s="139"/>
      <c r="G10" s="139"/>
      <c r="H10" s="139"/>
      <c r="I10" s="139"/>
      <c r="J10" s="139"/>
      <c r="K10" s="140" t="s">
        <v>78</v>
      </c>
      <c r="L10" s="250">
        <f>+IFERROR((L8-L9)/L9,0%)</f>
        <v>0.12719386838943902</v>
      </c>
      <c r="M10" s="139"/>
      <c r="N10" s="139"/>
      <c r="O10" s="139"/>
      <c r="P10" s="139"/>
      <c r="Q10" s="30"/>
      <c r="R10" s="30"/>
    </row>
    <row r="11" spans="1:19" s="25" customFormat="1">
      <c r="A11" s="147" t="s">
        <v>28</v>
      </c>
      <c r="B11" s="140"/>
      <c r="C11" s="144">
        <f>+C9-C10</f>
        <v>5</v>
      </c>
      <c r="D11" s="247">
        <f>+D9-D10</f>
        <v>0.98758066934406574</v>
      </c>
      <c r="E11" s="139"/>
      <c r="F11" s="139"/>
      <c r="G11" s="139"/>
      <c r="H11" s="139"/>
      <c r="I11" s="139"/>
      <c r="J11" s="139"/>
      <c r="K11" s="139"/>
      <c r="L11" s="139"/>
      <c r="M11" s="139"/>
      <c r="N11" s="139"/>
      <c r="O11" s="139"/>
      <c r="P11" s="139"/>
      <c r="Q11" s="30"/>
      <c r="R11" s="30"/>
    </row>
    <row r="12" spans="1:19" s="25" customFormat="1">
      <c r="A12" s="147"/>
      <c r="B12" s="140"/>
      <c r="C12" s="144"/>
      <c r="D12" s="148"/>
      <c r="E12" s="139"/>
      <c r="F12" s="139"/>
      <c r="G12" s="139"/>
      <c r="H12" s="139"/>
      <c r="I12" s="139"/>
      <c r="J12" s="139"/>
      <c r="K12" s="139"/>
      <c r="L12" s="139"/>
      <c r="M12" s="139"/>
      <c r="N12" s="139"/>
      <c r="O12" s="139"/>
      <c r="P12" s="139"/>
      <c r="Q12" s="30"/>
      <c r="R12" s="30"/>
    </row>
    <row r="13" spans="1:19" s="25" customFormat="1">
      <c r="A13" s="139" t="s">
        <v>29</v>
      </c>
      <c r="B13" s="140"/>
      <c r="C13" s="140"/>
      <c r="D13" s="140"/>
      <c r="E13" s="139"/>
      <c r="F13" s="139"/>
      <c r="G13" s="139"/>
      <c r="H13" s="139"/>
      <c r="I13" s="139"/>
      <c r="J13" s="139"/>
      <c r="K13" s="139"/>
      <c r="L13" s="139"/>
      <c r="M13" s="139"/>
      <c r="N13" s="139"/>
      <c r="O13" s="139"/>
      <c r="P13" s="139"/>
      <c r="Q13" s="30"/>
      <c r="R13" s="30"/>
    </row>
    <row r="14" spans="1:19" s="25" customFormat="1">
      <c r="A14" s="139"/>
      <c r="B14" s="140" t="s">
        <v>30</v>
      </c>
      <c r="C14" s="140"/>
      <c r="D14" s="141" t="s">
        <v>16</v>
      </c>
      <c r="E14" s="145" t="s">
        <v>36</v>
      </c>
      <c r="F14" s="141" t="s">
        <v>17</v>
      </c>
      <c r="G14" s="141" t="s">
        <v>16</v>
      </c>
      <c r="H14" s="145" t="s">
        <v>36</v>
      </c>
      <c r="I14" s="139"/>
      <c r="J14" s="141"/>
      <c r="K14" s="139"/>
      <c r="L14" s="141"/>
      <c r="M14" s="141"/>
      <c r="N14" s="141"/>
      <c r="O14" s="139"/>
      <c r="P14" s="141"/>
      <c r="Q14" s="31"/>
      <c r="R14" s="31"/>
    </row>
    <row r="15" spans="1:19" s="25" customFormat="1">
      <c r="A15" s="139"/>
      <c r="B15" s="142">
        <f>+B3</f>
        <v>-3</v>
      </c>
      <c r="C15" s="142">
        <f>+IF(ABS(B15)&gt;0.001,B15,0)</f>
        <v>-3</v>
      </c>
      <c r="D15" s="140">
        <f t="shared" ref="D15:D27" si="0">+GrandTotal+C15*GrandTotal_StDev</f>
        <v>312.09991955862381</v>
      </c>
      <c r="E15" s="146">
        <v>1</v>
      </c>
      <c r="F15" s="183">
        <f t="shared" ref="F15:F27" si="1">+NORMDIST($D15,GrandTotal,GrandTotal_StDev,TRUE)</f>
        <v>1.3498980316300954E-3</v>
      </c>
      <c r="G15" s="185">
        <f>+D15</f>
        <v>312.09991955862381</v>
      </c>
      <c r="H15" s="146">
        <v>1</v>
      </c>
      <c r="I15" s="139"/>
      <c r="J15" s="139"/>
      <c r="K15" s="139"/>
      <c r="L15" s="139"/>
      <c r="M15" s="139"/>
      <c r="N15" s="139"/>
      <c r="O15" s="139"/>
      <c r="P15" s="149"/>
      <c r="Q15" s="30"/>
      <c r="R15" s="30"/>
    </row>
    <row r="16" spans="1:19" s="25" customFormat="1">
      <c r="A16" s="139"/>
      <c r="B16" s="140">
        <f>+B15+$B$4</f>
        <v>-2.5</v>
      </c>
      <c r="C16" s="142">
        <f t="shared" ref="C16:C27" si="2">+IF(ABS(B16)&gt;0.001,B16,0)</f>
        <v>-2.5</v>
      </c>
      <c r="D16" s="140">
        <f t="shared" si="0"/>
        <v>342.40998134885314</v>
      </c>
      <c r="E16" s="146">
        <f>+E15+1</f>
        <v>2</v>
      </c>
      <c r="F16" s="183">
        <f t="shared" si="1"/>
        <v>6.2096653257761331E-3</v>
      </c>
      <c r="G16" s="185">
        <f t="shared" ref="G16:G27" si="3">+D16</f>
        <v>342.40998134885314</v>
      </c>
      <c r="H16" s="146">
        <f>+H15+1</f>
        <v>2</v>
      </c>
      <c r="I16" s="139"/>
      <c r="J16" s="139"/>
      <c r="K16" s="139"/>
      <c r="L16" s="139"/>
      <c r="M16" s="139"/>
      <c r="N16" s="139"/>
      <c r="O16" s="139"/>
      <c r="P16" s="149"/>
      <c r="Q16" s="30"/>
      <c r="R16" s="30"/>
    </row>
    <row r="17" spans="1:18" s="25" customFormat="1">
      <c r="A17" s="139"/>
      <c r="B17" s="140">
        <f t="shared" ref="B17:B27" si="4">+B16+$B$4</f>
        <v>-2</v>
      </c>
      <c r="C17" s="142">
        <f t="shared" si="2"/>
        <v>-2</v>
      </c>
      <c r="D17" s="140">
        <f t="shared" si="0"/>
        <v>372.72004313908252</v>
      </c>
      <c r="E17" s="146">
        <f t="shared" ref="E17:E27" si="5">+E16+1</f>
        <v>3</v>
      </c>
      <c r="F17" s="183">
        <f t="shared" si="1"/>
        <v>2.2750131948179219E-2</v>
      </c>
      <c r="G17" s="185">
        <f t="shared" si="3"/>
        <v>372.72004313908252</v>
      </c>
      <c r="H17" s="146">
        <f t="shared" ref="H17:H27" si="6">+H16+1</f>
        <v>3</v>
      </c>
      <c r="I17" s="139"/>
      <c r="J17" s="139"/>
      <c r="K17" s="139"/>
      <c r="L17" s="139"/>
      <c r="M17" s="139"/>
      <c r="N17" s="139"/>
      <c r="O17" s="139"/>
      <c r="P17" s="149"/>
      <c r="Q17" s="30"/>
      <c r="R17" s="30"/>
    </row>
    <row r="18" spans="1:18" s="25" customFormat="1">
      <c r="A18" s="139"/>
      <c r="B18" s="140">
        <f t="shared" si="4"/>
        <v>-1.5</v>
      </c>
      <c r="C18" s="142">
        <f t="shared" si="2"/>
        <v>-1.5</v>
      </c>
      <c r="D18" s="140">
        <f t="shared" si="0"/>
        <v>403.03010492931185</v>
      </c>
      <c r="E18" s="146">
        <f t="shared" si="5"/>
        <v>4</v>
      </c>
      <c r="F18" s="183">
        <f t="shared" si="1"/>
        <v>6.6807201268858057E-2</v>
      </c>
      <c r="G18" s="185">
        <f t="shared" si="3"/>
        <v>403.03010492931185</v>
      </c>
      <c r="H18" s="146">
        <f t="shared" si="6"/>
        <v>4</v>
      </c>
      <c r="I18" s="139"/>
      <c r="J18" s="139"/>
      <c r="K18" s="139"/>
      <c r="L18" s="139"/>
      <c r="M18" s="139"/>
      <c r="N18" s="139"/>
      <c r="O18" s="139"/>
      <c r="P18" s="149"/>
      <c r="Q18" s="30"/>
      <c r="R18" s="30"/>
    </row>
    <row r="19" spans="1:18" s="25" customFormat="1">
      <c r="A19" s="139"/>
      <c r="B19" s="140">
        <f t="shared" si="4"/>
        <v>-1</v>
      </c>
      <c r="C19" s="142">
        <f t="shared" si="2"/>
        <v>-1</v>
      </c>
      <c r="D19" s="140">
        <f t="shared" si="0"/>
        <v>433.34016671954123</v>
      </c>
      <c r="E19" s="146">
        <f t="shared" si="5"/>
        <v>5</v>
      </c>
      <c r="F19" s="183">
        <f t="shared" si="1"/>
        <v>0.15865525393145713</v>
      </c>
      <c r="G19" s="185">
        <f t="shared" si="3"/>
        <v>433.34016671954123</v>
      </c>
      <c r="H19" s="146">
        <f t="shared" si="6"/>
        <v>5</v>
      </c>
      <c r="I19" s="139"/>
      <c r="J19" s="139"/>
      <c r="K19" s="139"/>
      <c r="L19" s="139"/>
      <c r="M19" s="139"/>
      <c r="N19" s="139"/>
      <c r="O19" s="139"/>
      <c r="P19" s="149"/>
      <c r="Q19" s="30"/>
      <c r="R19" s="30"/>
    </row>
    <row r="20" spans="1:18" s="25" customFormat="1">
      <c r="A20" s="139"/>
      <c r="B20" s="140">
        <f t="shared" si="4"/>
        <v>-0.5</v>
      </c>
      <c r="C20" s="142">
        <f t="shared" si="2"/>
        <v>-0.5</v>
      </c>
      <c r="D20" s="140">
        <f t="shared" si="0"/>
        <v>463.65022850977056</v>
      </c>
      <c r="E20" s="146">
        <f t="shared" si="5"/>
        <v>6</v>
      </c>
      <c r="F20" s="183">
        <f t="shared" si="1"/>
        <v>0.30853753872598666</v>
      </c>
      <c r="G20" s="185">
        <f t="shared" si="3"/>
        <v>463.65022850977056</v>
      </c>
      <c r="H20" s="146">
        <f t="shared" si="6"/>
        <v>6</v>
      </c>
      <c r="I20" s="139"/>
      <c r="J20" s="139"/>
      <c r="K20" s="139"/>
      <c r="L20" s="139"/>
      <c r="M20" s="139"/>
      <c r="N20" s="139"/>
      <c r="O20" s="139"/>
      <c r="P20" s="139"/>
      <c r="Q20" s="149"/>
      <c r="R20" s="30"/>
    </row>
    <row r="21" spans="1:18" s="25" customFormat="1">
      <c r="A21" s="139"/>
      <c r="B21" s="140">
        <f t="shared" si="4"/>
        <v>0</v>
      </c>
      <c r="C21" s="142">
        <f t="shared" si="2"/>
        <v>0</v>
      </c>
      <c r="D21" s="140">
        <f t="shared" si="0"/>
        <v>493.96029029999994</v>
      </c>
      <c r="E21" s="146">
        <f t="shared" si="5"/>
        <v>7</v>
      </c>
      <c r="F21" s="183">
        <f t="shared" si="1"/>
        <v>0.5</v>
      </c>
      <c r="G21" s="185">
        <f t="shared" si="3"/>
        <v>493.96029029999994</v>
      </c>
      <c r="H21" s="146">
        <f t="shared" si="6"/>
        <v>7</v>
      </c>
      <c r="I21" s="139"/>
      <c r="J21" s="139"/>
      <c r="K21" s="139"/>
      <c r="L21" s="139"/>
      <c r="M21" s="139"/>
      <c r="N21" s="139"/>
      <c r="O21" s="139"/>
      <c r="P21" s="139"/>
      <c r="Q21" s="149"/>
      <c r="R21" s="30"/>
    </row>
    <row r="22" spans="1:18" s="25" customFormat="1">
      <c r="A22" s="139"/>
      <c r="B22" s="140">
        <f t="shared" si="4"/>
        <v>0.5</v>
      </c>
      <c r="C22" s="142">
        <f t="shared" si="2"/>
        <v>0.5</v>
      </c>
      <c r="D22" s="140">
        <f t="shared" si="0"/>
        <v>524.27035209022927</v>
      </c>
      <c r="E22" s="146">
        <f t="shared" si="5"/>
        <v>8</v>
      </c>
      <c r="F22" s="183">
        <f t="shared" si="1"/>
        <v>0.69146246127401301</v>
      </c>
      <c r="G22" s="185">
        <f t="shared" si="3"/>
        <v>524.27035209022927</v>
      </c>
      <c r="H22" s="146">
        <f t="shared" si="6"/>
        <v>8</v>
      </c>
      <c r="I22" s="139"/>
      <c r="J22" s="139"/>
      <c r="K22" s="139"/>
      <c r="L22" s="139"/>
      <c r="M22" s="139"/>
      <c r="N22" s="139"/>
      <c r="O22" s="139"/>
      <c r="P22" s="139"/>
      <c r="Q22" s="149"/>
      <c r="R22" s="30"/>
    </row>
    <row r="23" spans="1:18" s="25" customFormat="1" ht="15.75" customHeight="1">
      <c r="A23" s="139"/>
      <c r="B23" s="140">
        <f t="shared" si="4"/>
        <v>1</v>
      </c>
      <c r="C23" s="142">
        <f t="shared" si="2"/>
        <v>1</v>
      </c>
      <c r="D23" s="140">
        <f t="shared" si="0"/>
        <v>554.58041388045865</v>
      </c>
      <c r="E23" s="146">
        <f t="shared" si="5"/>
        <v>9</v>
      </c>
      <c r="F23" s="183">
        <f t="shared" si="1"/>
        <v>0.84134474606854281</v>
      </c>
      <c r="G23" s="185">
        <f t="shared" si="3"/>
        <v>554.58041388045865</v>
      </c>
      <c r="H23" s="146">
        <f t="shared" si="6"/>
        <v>9</v>
      </c>
      <c r="I23" s="145"/>
      <c r="J23" s="145"/>
      <c r="K23" s="141"/>
      <c r="L23" s="141"/>
      <c r="M23" s="141"/>
      <c r="N23" s="141"/>
      <c r="O23" s="139"/>
      <c r="P23" s="139"/>
      <c r="Q23" s="149"/>
      <c r="R23" s="30"/>
    </row>
    <row r="24" spans="1:18" s="25" customFormat="1" ht="15">
      <c r="A24" s="139"/>
      <c r="B24" s="140">
        <f t="shared" si="4"/>
        <v>1.5</v>
      </c>
      <c r="C24" s="142">
        <f t="shared" si="2"/>
        <v>1.5</v>
      </c>
      <c r="D24" s="140">
        <f t="shared" si="0"/>
        <v>584.89047567068803</v>
      </c>
      <c r="E24" s="146">
        <f t="shared" si="5"/>
        <v>10</v>
      </c>
      <c r="F24" s="183">
        <f t="shared" si="1"/>
        <v>0.93319279873114191</v>
      </c>
      <c r="G24" s="185">
        <f t="shared" si="3"/>
        <v>584.89047567068803</v>
      </c>
      <c r="H24" s="146">
        <f t="shared" si="6"/>
        <v>10</v>
      </c>
      <c r="I24" s="180"/>
      <c r="J24" s="184"/>
      <c r="K24" s="155"/>
      <c r="L24" s="156"/>
      <c r="M24" s="186"/>
      <c r="N24" s="156"/>
      <c r="O24" s="139"/>
      <c r="Q24" s="149"/>
      <c r="R24" s="30"/>
    </row>
    <row r="25" spans="1:18" s="25" customFormat="1">
      <c r="A25" s="139"/>
      <c r="B25" s="140">
        <f t="shared" si="4"/>
        <v>2</v>
      </c>
      <c r="C25" s="142">
        <f t="shared" si="2"/>
        <v>2</v>
      </c>
      <c r="D25" s="140">
        <f>+GrandTotal+C25*GrandTotal_StDev</f>
        <v>615.20053746091742</v>
      </c>
      <c r="E25" s="146">
        <f t="shared" si="5"/>
        <v>11</v>
      </c>
      <c r="F25" s="183">
        <f t="shared" si="1"/>
        <v>0.9772498680518209</v>
      </c>
      <c r="G25" s="185">
        <f t="shared" si="3"/>
        <v>615.20053746091742</v>
      </c>
      <c r="H25" s="146">
        <f t="shared" si="6"/>
        <v>11</v>
      </c>
      <c r="I25" s="139"/>
      <c r="J25" s="184"/>
      <c r="K25" s="155"/>
      <c r="L25" s="156"/>
      <c r="M25" s="139"/>
      <c r="N25" s="139"/>
      <c r="O25" s="139"/>
      <c r="P25" s="139"/>
      <c r="Q25" s="149"/>
      <c r="R25" s="30"/>
    </row>
    <row r="26" spans="1:18" s="25" customFormat="1">
      <c r="A26" s="139"/>
      <c r="B26" s="140">
        <f t="shared" si="4"/>
        <v>2.5</v>
      </c>
      <c r="C26" s="142">
        <f t="shared" si="2"/>
        <v>2.5</v>
      </c>
      <c r="D26" s="140">
        <f t="shared" si="0"/>
        <v>645.51059925114669</v>
      </c>
      <c r="E26" s="146">
        <f t="shared" si="5"/>
        <v>12</v>
      </c>
      <c r="F26" s="183">
        <f t="shared" si="1"/>
        <v>0.99379033467422384</v>
      </c>
      <c r="G26" s="185">
        <f t="shared" si="3"/>
        <v>645.51059925114669</v>
      </c>
      <c r="H26" s="146">
        <f t="shared" si="6"/>
        <v>12</v>
      </c>
      <c r="I26" s="139"/>
      <c r="J26" s="139"/>
      <c r="K26" s="139"/>
      <c r="L26" s="139"/>
      <c r="M26" s="139"/>
      <c r="N26" s="141"/>
      <c r="O26" s="139"/>
      <c r="P26" s="139"/>
      <c r="Q26" s="149"/>
      <c r="R26" s="30"/>
    </row>
    <row r="27" spans="1:18" s="25" customFormat="1">
      <c r="A27" s="139"/>
      <c r="B27" s="140">
        <f t="shared" si="4"/>
        <v>3</v>
      </c>
      <c r="C27" s="142">
        <f t="shared" si="2"/>
        <v>3</v>
      </c>
      <c r="D27" s="140">
        <f t="shared" si="0"/>
        <v>675.82066104137607</v>
      </c>
      <c r="E27" s="146">
        <f t="shared" si="5"/>
        <v>13</v>
      </c>
      <c r="F27" s="183">
        <f t="shared" si="1"/>
        <v>0.9986501019683699</v>
      </c>
      <c r="G27" s="185">
        <f t="shared" si="3"/>
        <v>675.82066104137607</v>
      </c>
      <c r="H27" s="146">
        <f t="shared" si="6"/>
        <v>13</v>
      </c>
      <c r="I27" s="139"/>
      <c r="J27" s="139"/>
      <c r="K27" s="139"/>
      <c r="L27" s="139"/>
      <c r="M27" s="139"/>
      <c r="N27" s="156"/>
      <c r="O27" s="146"/>
      <c r="P27" s="139"/>
      <c r="Q27" s="149"/>
      <c r="R27" s="30"/>
    </row>
    <row r="28" spans="1:18" s="25" customFormat="1">
      <c r="A28" s="139"/>
      <c r="B28" s="140"/>
      <c r="C28" s="142"/>
      <c r="D28" s="140"/>
      <c r="E28" s="139"/>
      <c r="F28" s="139"/>
      <c r="G28" s="139"/>
      <c r="H28" s="139"/>
      <c r="I28" s="139"/>
      <c r="J28" s="139"/>
      <c r="K28" s="139"/>
      <c r="L28" s="139"/>
      <c r="M28" s="139"/>
      <c r="N28" s="139"/>
      <c r="O28" s="139"/>
      <c r="P28" s="139"/>
      <c r="Q28" s="30"/>
      <c r="R28" s="30"/>
    </row>
    <row r="29" spans="1:18" s="25" customFormat="1">
      <c r="A29" s="139"/>
      <c r="B29" s="140"/>
      <c r="C29" s="140"/>
      <c r="D29" s="140"/>
      <c r="E29" s="139"/>
      <c r="F29" s="139"/>
      <c r="G29" s="139"/>
      <c r="H29" s="139"/>
      <c r="I29" s="139"/>
      <c r="J29" s="139"/>
      <c r="K29" s="139"/>
      <c r="L29" s="139"/>
      <c r="N29" s="139"/>
      <c r="O29" s="139"/>
      <c r="P29" s="139"/>
      <c r="Q29" s="30"/>
      <c r="R29" s="30"/>
    </row>
    <row r="30" spans="1:18" s="25" customFormat="1">
      <c r="A30" s="139"/>
      <c r="B30" s="140"/>
      <c r="C30" s="140"/>
      <c r="D30" s="140"/>
      <c r="E30" s="139"/>
      <c r="F30" s="139"/>
      <c r="G30" s="139"/>
      <c r="H30" s="139"/>
      <c r="I30" s="139"/>
      <c r="J30" s="139"/>
      <c r="K30" s="139"/>
      <c r="L30" s="139"/>
      <c r="M30" s="139"/>
      <c r="N30" s="139"/>
      <c r="O30" s="139"/>
      <c r="P30" s="139"/>
      <c r="Q30" s="30"/>
      <c r="R30" s="30"/>
    </row>
  </sheetData>
  <phoneticPr fontId="0" type="noConversion"/>
  <pageMargins left="0.59055118110236227" right="0.23622047244094491" top="0.86614173228346458" bottom="0.6692913385826772" header="0.35433070866141736" footer="0.27559055118110237"/>
  <pageSetup paperSize="9" orientation="landscape" horizontalDpi="4294967293" verticalDpi="96" r:id="rId1"/>
  <headerFooter alignWithMargins="0">
    <oddHeader>&amp;R&amp;8&amp;G</oddHeader>
    <oddFooter>&amp;LDato: &amp;D
Fil: &amp;F&amp;C&amp;A&amp;RSide &amp;P/&amp;N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29EC4-0852-4A6A-A963-CB5D01001182}">
  <sheetPr codeName="Sheet4">
    <tabColor rgb="FF92D050"/>
  </sheetPr>
  <dimension ref="A1:X1"/>
  <sheetViews>
    <sheetView workbookViewId="0"/>
  </sheetViews>
  <sheetFormatPr defaultRowHeight="12.45"/>
  <cols>
    <col min="1" max="24" width="9.23046875" style="48"/>
  </cols>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337B5-632A-42D9-B043-A39A00D84947}">
  <sheetPr>
    <tabColor rgb="FFFFC000"/>
  </sheetPr>
  <dimension ref="A1:W1"/>
  <sheetViews>
    <sheetView workbookViewId="0"/>
  </sheetViews>
  <sheetFormatPr defaultRowHeight="12.45"/>
  <cols>
    <col min="1" max="23" width="9.23046875" style="48"/>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Worksheets</vt:lpstr>
      </vt:variant>
      <vt:variant>
        <vt:i4>4</vt:i4>
      </vt:variant>
      <vt:variant>
        <vt:lpstr>Charts</vt:lpstr>
      </vt:variant>
      <vt:variant>
        <vt:i4>4</vt:i4>
      </vt:variant>
      <vt:variant>
        <vt:lpstr>Named Ranges</vt:lpstr>
      </vt:variant>
      <vt:variant>
        <vt:i4>35</vt:i4>
      </vt:variant>
    </vt:vector>
  </HeadingPairs>
  <TitlesOfParts>
    <vt:vector size="43" baseType="lpstr">
      <vt:lpstr>FP</vt:lpstr>
      <vt:lpstr>Data</vt:lpstr>
      <vt:lpstr>PlotData</vt:lpstr>
      <vt:lpstr>Top10Esti</vt:lpstr>
      <vt:lpstr>Top10Unc</vt:lpstr>
      <vt:lpstr>S-Curve</vt:lpstr>
      <vt:lpstr>Budget</vt:lpstr>
      <vt:lpstr>Uncertainties</vt:lpstr>
      <vt:lpstr>Budget_Factor</vt:lpstr>
      <vt:lpstr>Budget_NoStd</vt:lpstr>
      <vt:lpstr>Budget_Pii</vt:lpstr>
      <vt:lpstr>deltaId</vt:lpstr>
      <vt:lpstr>deltaId_Budget</vt:lpstr>
      <vt:lpstr>DivisorA</vt:lpstr>
      <vt:lpstr>DivisorB</vt:lpstr>
      <vt:lpstr>dTF_Minus</vt:lpstr>
      <vt:lpstr>dTF_Plus</vt:lpstr>
      <vt:lpstr>Faktor</vt:lpstr>
      <vt:lpstr>FaktorA</vt:lpstr>
      <vt:lpstr>Func_Mean_Divisor</vt:lpstr>
      <vt:lpstr>Grand_Total_Var</vt:lpstr>
      <vt:lpstr>GrandTotal</vt:lpstr>
      <vt:lpstr>GrandTotal_Costs</vt:lpstr>
      <vt:lpstr>GrandTotal_Income</vt:lpstr>
      <vt:lpstr>GrandTotal_Priority</vt:lpstr>
      <vt:lpstr>GrandTotal_StDev</vt:lpstr>
      <vt:lpstr>GruppeStr</vt:lpstr>
      <vt:lpstr>GU_Sum_Costs</vt:lpstr>
      <vt:lpstr>GU_Sum_Income</vt:lpstr>
      <vt:lpstr>Mean_GUs</vt:lpstr>
      <vt:lpstr>Mean_Tasks</vt:lpstr>
      <vt:lpstr>Data!Print_Area</vt:lpstr>
      <vt:lpstr>FP!Print_Area</vt:lpstr>
      <vt:lpstr>Task_Sum_Costs</vt:lpstr>
      <vt:lpstr>Task_Sum_Income</vt:lpstr>
      <vt:lpstr>Plot!TF_Include</vt:lpstr>
      <vt:lpstr>TF_Total</vt:lpstr>
      <vt:lpstr>UncertaintyAnalysis</vt:lpstr>
      <vt:lpstr>UncertaintyShare_GeneralUncert</vt:lpstr>
      <vt:lpstr>UncertaintyShare_Tasks</vt:lpstr>
      <vt:lpstr>Units</vt:lpstr>
      <vt:lpstr>Var_Sum_GeneralUncert</vt:lpstr>
      <vt:lpstr>Var_Sum_Tasks</vt:lpstr>
    </vt:vector>
  </TitlesOfParts>
  <Company>HKS-Consult.dk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Demo</dc:title>
  <dc:subject>Robust Estimations</dc:subject>
  <dc:creator>Henrik K. Søndergaard</dc:creator>
  <dc:description>Kilde: ProActive Management of Uncertainity using the Successive Principle</dc:description>
  <cp:lastModifiedBy>Henrik K Søndergaard</cp:lastModifiedBy>
  <cp:lastPrinted>2024-01-17T14:11:38Z</cp:lastPrinted>
  <dcterms:created xsi:type="dcterms:W3CDTF">2004-05-03T07:41:54Z</dcterms:created>
  <dcterms:modified xsi:type="dcterms:W3CDTF">2024-11-22T06:08:18Z</dcterms:modified>
  <cp:category>Estimations. Budget</cp:category>
  <cp:contentStatus>RELEASED</cp:contentStatus>
</cp:coreProperties>
</file>