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3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4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5.xml" ContentType="application/vnd.openxmlformats-officedocument.drawingml.chart+xml"/>
  <Override PartName="/xl/drawings/drawing1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COMPILOT\51.Web\07.Downloads\"/>
    </mc:Choice>
  </mc:AlternateContent>
  <xr:revisionPtr revIDLastSave="0" documentId="13_ncr:1_{7D5E713B-E734-4214-AEB2-4C5730C42707}" xr6:coauthVersionLast="47" xr6:coauthVersionMax="47" xr10:uidLastSave="{00000000-0000-0000-0000-000000000000}"/>
  <bookViews>
    <workbookView xWindow="-103" yWindow="-103" windowWidth="24892" windowHeight="14914" tabRatio="566" xr2:uid="{00000000-000D-0000-FFFF-FFFF00000000}"/>
  </bookViews>
  <sheets>
    <sheet name="FS" sheetId="19" r:id="rId1"/>
    <sheet name="Data" sheetId="12" r:id="rId2"/>
    <sheet name="CurveData" sheetId="13" state="veryHidden" r:id="rId3"/>
    <sheet name="Plotdata" sheetId="27" r:id="rId4"/>
    <sheet name="Top10Usik" sheetId="22" r:id="rId5"/>
    <sheet name="Top10EstB" sheetId="28" r:id="rId6"/>
    <sheet name="S-Kurve" sheetId="15" r:id="rId7"/>
    <sheet name="Budget" sheetId="18" r:id="rId8"/>
    <sheet name="Usikkerheder" sheetId="16" r:id="rId9"/>
  </sheets>
  <definedNames>
    <definedName name="Budget_Chosen">Data!$H$73</definedName>
    <definedName name="Budget_Factor">Data!$E$74</definedName>
    <definedName name="Budget_NoStd">Data!$J$73</definedName>
    <definedName name="Budget_Pii">Data!$E$73</definedName>
    <definedName name="deltaId">Data!$T$7</definedName>
    <definedName name="deltaId_Budget">Data!$T$80</definedName>
    <definedName name="DivisorA">Data!$BR$5</definedName>
    <definedName name="DivisorB">Data!$BR$6</definedName>
    <definedName name="dTF_Minus">Data!$BI$23</definedName>
    <definedName name="dTF_Plus">Data!$BH$23</definedName>
    <definedName name="Faktor">Data!$O$32</definedName>
    <definedName name="FaktorA">Data!$BR$4</definedName>
    <definedName name="Func_Mean_Divisor">Data!$BF$4</definedName>
    <definedName name="Grand_Total_Var">Data!$K$163</definedName>
    <definedName name="GrandTotal">Data!$E$68</definedName>
    <definedName name="GrandTotal_Costs">Data!$E$63</definedName>
    <definedName name="GrandTotal_Income">Data!$E$59</definedName>
    <definedName name="GrandTotal_Priority">Data!$K$68</definedName>
    <definedName name="GrandTotal_StDev">Data!$J$68</definedName>
    <definedName name="GruppeStr">Data!$BR$3</definedName>
    <definedName name="GU_Sum_Costs">Data!$BA$5</definedName>
    <definedName name="GU_Sum_Income">Data!$BA$6</definedName>
    <definedName name="Mean_GUs">Data!$H$23</definedName>
    <definedName name="Mean_Tasks">Data!$H$53</definedName>
    <definedName name="_xlnm.Print_Area" localSheetId="1">Data!$A$1:$N$163</definedName>
    <definedName name="_xlnm.Print_Area" localSheetId="0">FS!$A$1:$I$86</definedName>
    <definedName name="Project_Uncertainty">CurveData!$L$10</definedName>
    <definedName name="Project_UncertaintyShare_GeneralUncert">Data!$L$23</definedName>
    <definedName name="Project_UncertaintyShare_Tasks">Data!$L$52</definedName>
    <definedName name="Task_Sum_Costs">Data!$BB$25</definedName>
    <definedName name="Task_Sum_Income">Data!$BB$26</definedName>
    <definedName name="TF_Total">Data!$I$23</definedName>
    <definedName name="Units">Data!$E$25</definedName>
    <definedName name="Var_Sum_GeneralUncert">Data!$K$23</definedName>
    <definedName name="Var_Sum_Tasks">Data!$K$52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05" i="12" l="1"/>
  <c r="A85" i="12"/>
  <c r="A86" i="12" s="1"/>
  <c r="A87" i="12" s="1"/>
  <c r="A88" i="12" s="1"/>
  <c r="A89" i="12" s="1"/>
  <c r="A90" i="12" s="1"/>
  <c r="A91" i="12" s="1"/>
  <c r="A92" i="12" s="1"/>
  <c r="A93" i="12" s="1"/>
  <c r="J105" i="12" l="1"/>
  <c r="J106" i="12"/>
  <c r="J107" i="12"/>
  <c r="J108" i="12"/>
  <c r="J109" i="12"/>
  <c r="J110" i="12"/>
  <c r="J111" i="12"/>
  <c r="J112" i="12"/>
  <c r="J113" i="12"/>
  <c r="J114" i="12"/>
  <c r="J115" i="12"/>
  <c r="J116" i="12"/>
  <c r="I80" i="12"/>
  <c r="I81" i="12" s="1"/>
  <c r="C115" i="12"/>
  <c r="C116" i="12"/>
  <c r="K115" i="12"/>
  <c r="AA12" i="12"/>
  <c r="AA13" i="12"/>
  <c r="AA14" i="12"/>
  <c r="AA15" i="12"/>
  <c r="AA16" i="12"/>
  <c r="AA17" i="12"/>
  <c r="AA18" i="12"/>
  <c r="AA19" i="12"/>
  <c r="AA20" i="12"/>
  <c r="AA21" i="12"/>
  <c r="AA22" i="12"/>
  <c r="AA11" i="12"/>
  <c r="S115" i="12"/>
  <c r="AA115" i="12" l="1"/>
  <c r="D184" i="12"/>
  <c r="F26" i="12"/>
  <c r="AF10" i="12" s="1"/>
  <c r="E26" i="12"/>
  <c r="AU10" i="12" s="1"/>
  <c r="D26" i="12"/>
  <c r="AS10" i="12" s="1"/>
  <c r="K107" i="12"/>
  <c r="K108" i="12"/>
  <c r="K109" i="12"/>
  <c r="K110" i="12"/>
  <c r="K111" i="12"/>
  <c r="K112" i="12"/>
  <c r="K113" i="12"/>
  <c r="K114" i="12"/>
  <c r="K116" i="12"/>
  <c r="K106" i="12"/>
  <c r="K86" i="12"/>
  <c r="K87" i="12"/>
  <c r="K88" i="12"/>
  <c r="K89" i="12"/>
  <c r="K90" i="12"/>
  <c r="K91" i="12"/>
  <c r="K92" i="12"/>
  <c r="K93" i="12"/>
  <c r="K94" i="12"/>
  <c r="K95" i="12"/>
  <c r="K96" i="12"/>
  <c r="K97" i="12"/>
  <c r="K98" i="12"/>
  <c r="K99" i="12"/>
  <c r="K100" i="12"/>
  <c r="K101" i="12"/>
  <c r="K102" i="12"/>
  <c r="K103" i="12"/>
  <c r="K104" i="12"/>
  <c r="K85" i="12"/>
  <c r="C106" i="12"/>
  <c r="C107" i="12"/>
  <c r="C108" i="12"/>
  <c r="C109" i="12"/>
  <c r="C110" i="12"/>
  <c r="C111" i="12"/>
  <c r="C112" i="12"/>
  <c r="C113" i="12"/>
  <c r="C114" i="12"/>
  <c r="C105" i="12"/>
  <c r="B105" i="12"/>
  <c r="B84" i="12"/>
  <c r="C83" i="12"/>
  <c r="S107" i="12"/>
  <c r="S113" i="12"/>
  <c r="S89" i="12"/>
  <c r="S88" i="12"/>
  <c r="S85" i="12"/>
  <c r="S91" i="12"/>
  <c r="S106" i="12"/>
  <c r="S94" i="12"/>
  <c r="S98" i="12"/>
  <c r="S114" i="12"/>
  <c r="S104" i="12"/>
  <c r="S116" i="12"/>
  <c r="S100" i="12"/>
  <c r="S87" i="12"/>
  <c r="S90" i="12"/>
  <c r="S95" i="12"/>
  <c r="S99" i="12"/>
  <c r="S105" i="12"/>
  <c r="S103" i="12"/>
  <c r="S102" i="12"/>
  <c r="S92" i="12"/>
  <c r="S86" i="12"/>
  <c r="S93" i="12"/>
  <c r="S110" i="12"/>
  <c r="S109" i="12"/>
  <c r="S112" i="12"/>
  <c r="S111" i="12"/>
  <c r="S96" i="12"/>
  <c r="S84" i="12"/>
  <c r="S108" i="12"/>
  <c r="S101" i="12"/>
  <c r="S97" i="12"/>
  <c r="W10" i="12" l="1"/>
  <c r="AL10" i="12"/>
  <c r="AW10" i="12"/>
  <c r="AX10" i="12"/>
  <c r="AY10" i="12"/>
  <c r="X10" i="12"/>
  <c r="AN10" i="12"/>
  <c r="BB10" i="12"/>
  <c r="Y10" i="12"/>
  <c r="BC10" i="12"/>
  <c r="AD10" i="12"/>
  <c r="BD10" i="12"/>
  <c r="AT10" i="12"/>
  <c r="AA114" i="12"/>
  <c r="AA107" i="12"/>
  <c r="AA108" i="12"/>
  <c r="AA106" i="12"/>
  <c r="AA109" i="12"/>
  <c r="AA111" i="12"/>
  <c r="AA116" i="12"/>
  <c r="AA110" i="12"/>
  <c r="AA112" i="12"/>
  <c r="AA113" i="12"/>
  <c r="AA105" i="12"/>
  <c r="B50" i="12" l="1"/>
  <c r="C103" i="12" l="1"/>
  <c r="C102" i="12"/>
  <c r="C101" i="12"/>
  <c r="C100" i="12"/>
  <c r="C99" i="12"/>
  <c r="C98" i="12"/>
  <c r="C97" i="12"/>
  <c r="C96" i="12"/>
  <c r="D83" i="12"/>
  <c r="AA46" i="12"/>
  <c r="O46" i="12"/>
  <c r="AA45" i="12"/>
  <c r="AA44" i="12"/>
  <c r="O44" i="12"/>
  <c r="AA43" i="12"/>
  <c r="O43" i="12"/>
  <c r="AA42" i="12"/>
  <c r="O42" i="12"/>
  <c r="AA41" i="12"/>
  <c r="O41" i="12"/>
  <c r="AA40" i="12"/>
  <c r="O40" i="12"/>
  <c r="R46" i="12"/>
  <c r="S44" i="12"/>
  <c r="S43" i="12"/>
  <c r="S45" i="12"/>
  <c r="R41" i="12"/>
  <c r="S40" i="12"/>
  <c r="R43" i="12"/>
  <c r="R45" i="12"/>
  <c r="S46" i="12"/>
  <c r="S42" i="12"/>
  <c r="R42" i="12"/>
  <c r="R40" i="12"/>
  <c r="S41" i="12"/>
  <c r="R44" i="12"/>
  <c r="AA102" i="12" l="1"/>
  <c r="AA97" i="12"/>
  <c r="AA96" i="12"/>
  <c r="AA100" i="12"/>
  <c r="AA99" i="12"/>
  <c r="AA101" i="12"/>
  <c r="AA98" i="12"/>
  <c r="C95" i="12" l="1"/>
  <c r="C85" i="12"/>
  <c r="C86" i="12"/>
  <c r="C87" i="12"/>
  <c r="C88" i="12"/>
  <c r="C89" i="12"/>
  <c r="C90" i="12"/>
  <c r="C91" i="12"/>
  <c r="C92" i="12"/>
  <c r="C93" i="12"/>
  <c r="C94" i="12"/>
  <c r="D23" i="12"/>
  <c r="J62" i="12" l="1"/>
  <c r="I62" i="12"/>
  <c r="F62" i="12"/>
  <c r="E62" i="12"/>
  <c r="D62" i="12"/>
  <c r="J58" i="12"/>
  <c r="I58" i="12"/>
  <c r="E58" i="12"/>
  <c r="F58" i="12"/>
  <c r="D58" i="12"/>
  <c r="BA4" i="12"/>
  <c r="BB24" i="12"/>
  <c r="H67" i="12"/>
  <c r="J67" i="12"/>
  <c r="B49" i="12"/>
  <c r="H47" i="12"/>
  <c r="H26" i="12"/>
  <c r="B26" i="12"/>
  <c r="A26" i="12"/>
  <c r="BE10" i="12" l="1"/>
  <c r="AE10" i="12"/>
  <c r="AM10" i="12"/>
  <c r="O32" i="12" l="1"/>
  <c r="O33" i="12"/>
  <c r="O38" i="12"/>
  <c r="O39" i="12"/>
  <c r="BR5" i="12"/>
  <c r="BR6" i="12"/>
  <c r="BR4" i="12"/>
  <c r="I46" i="12" l="1"/>
  <c r="K46" i="12" s="1"/>
  <c r="I44" i="12"/>
  <c r="K44" i="12" s="1"/>
  <c r="I40" i="12"/>
  <c r="K40" i="12" s="1"/>
  <c r="I43" i="12"/>
  <c r="K43" i="12" s="1"/>
  <c r="I42" i="12"/>
  <c r="K42" i="12" s="1"/>
  <c r="I41" i="12"/>
  <c r="K41" i="12" s="1"/>
  <c r="H46" i="12"/>
  <c r="H44" i="12"/>
  <c r="H43" i="12"/>
  <c r="H42" i="12"/>
  <c r="D99" i="12" s="1"/>
  <c r="H41" i="12"/>
  <c r="D98" i="12" s="1"/>
  <c r="H40" i="12"/>
  <c r="D97" i="12" s="1"/>
  <c r="H30" i="12"/>
  <c r="D87" i="12" s="1"/>
  <c r="H38" i="12"/>
  <c r="D95" i="12" s="1"/>
  <c r="H33" i="12"/>
  <c r="D90" i="12" s="1"/>
  <c r="H48" i="12"/>
  <c r="H32" i="12"/>
  <c r="D89" i="12" s="1"/>
  <c r="H31" i="12"/>
  <c r="D88" i="12" s="1"/>
  <c r="H39" i="12"/>
  <c r="D96" i="12" s="1"/>
  <c r="H28" i="12"/>
  <c r="D85" i="12" s="1"/>
  <c r="H27" i="12"/>
  <c r="H29" i="12"/>
  <c r="D86" i="12" s="1"/>
  <c r="H49" i="12"/>
  <c r="I30" i="12"/>
  <c r="K30" i="12" s="1"/>
  <c r="I38" i="12"/>
  <c r="K38" i="12" s="1"/>
  <c r="I28" i="12"/>
  <c r="K28" i="12" s="1"/>
  <c r="I32" i="12"/>
  <c r="K32" i="12" s="1"/>
  <c r="I33" i="12"/>
  <c r="K33" i="12" s="1"/>
  <c r="I48" i="12"/>
  <c r="I31" i="12"/>
  <c r="K31" i="12" s="1"/>
  <c r="I39" i="12"/>
  <c r="K39" i="12" s="1"/>
  <c r="I27" i="12"/>
  <c r="K27" i="12" s="1"/>
  <c r="I29" i="12"/>
  <c r="K29" i="12" s="1"/>
  <c r="I49" i="12"/>
  <c r="I14" i="12"/>
  <c r="K14" i="12" s="1"/>
  <c r="I18" i="12"/>
  <c r="K18" i="12" s="1"/>
  <c r="I22" i="12"/>
  <c r="K22" i="12" s="1"/>
  <c r="I11" i="12"/>
  <c r="I21" i="12"/>
  <c r="K21" i="12" s="1"/>
  <c r="I15" i="12"/>
  <c r="K15" i="12" s="1"/>
  <c r="I19" i="12"/>
  <c r="K19" i="12" s="1"/>
  <c r="I17" i="12"/>
  <c r="K17" i="12" s="1"/>
  <c r="I12" i="12"/>
  <c r="K12" i="12" s="1"/>
  <c r="I16" i="12"/>
  <c r="K16" i="12" s="1"/>
  <c r="I20" i="12"/>
  <c r="K20" i="12" s="1"/>
  <c r="I13" i="12"/>
  <c r="K13" i="12" s="1"/>
  <c r="H14" i="12"/>
  <c r="D108" i="12" s="1"/>
  <c r="H18" i="12"/>
  <c r="D112" i="12" s="1"/>
  <c r="H22" i="12"/>
  <c r="H15" i="12"/>
  <c r="D109" i="12" s="1"/>
  <c r="H19" i="12"/>
  <c r="D113" i="12" s="1"/>
  <c r="H17" i="12"/>
  <c r="D111" i="12" s="1"/>
  <c r="H12" i="12"/>
  <c r="D106" i="12" s="1"/>
  <c r="H16" i="12"/>
  <c r="D110" i="12" s="1"/>
  <c r="H20" i="12"/>
  <c r="H11" i="12"/>
  <c r="H13" i="12"/>
  <c r="D107" i="12" s="1"/>
  <c r="H21" i="12"/>
  <c r="D115" i="12" s="1"/>
  <c r="BF18" i="12"/>
  <c r="BF17" i="12"/>
  <c r="BF15" i="12"/>
  <c r="BF22" i="12"/>
  <c r="BF21" i="12"/>
  <c r="BF13" i="12"/>
  <c r="BF16" i="12"/>
  <c r="BF14" i="12"/>
  <c r="BF20" i="12"/>
  <c r="BF12" i="12"/>
  <c r="BF19" i="12"/>
  <c r="O31" i="12"/>
  <c r="O30" i="12"/>
  <c r="O29" i="12"/>
  <c r="O28" i="12"/>
  <c r="O26" i="12"/>
  <c r="O27" i="12"/>
  <c r="D84" i="12" l="1"/>
  <c r="E35" i="12"/>
  <c r="E34" i="12"/>
  <c r="E37" i="12"/>
  <c r="E36" i="12"/>
  <c r="D116" i="12"/>
  <c r="D114" i="12"/>
  <c r="D105" i="12"/>
  <c r="D103" i="12"/>
  <c r="D100" i="12"/>
  <c r="D101" i="12"/>
  <c r="Y46" i="12"/>
  <c r="X46" i="12"/>
  <c r="W46" i="12"/>
  <c r="Y40" i="12"/>
  <c r="X40" i="12"/>
  <c r="W40" i="12"/>
  <c r="Y41" i="12"/>
  <c r="X41" i="12"/>
  <c r="W41" i="12"/>
  <c r="Y42" i="12"/>
  <c r="X42" i="12"/>
  <c r="W42" i="12"/>
  <c r="Y43" i="12"/>
  <c r="X43" i="12"/>
  <c r="W43" i="12"/>
  <c r="Y44" i="12"/>
  <c r="X44" i="12"/>
  <c r="W44" i="12"/>
  <c r="H23" i="12"/>
  <c r="K11" i="12"/>
  <c r="BG11" i="12"/>
  <c r="BA6" i="12"/>
  <c r="BA5" i="12"/>
  <c r="J48" i="12"/>
  <c r="K48" i="12" s="1"/>
  <c r="F37" i="12" l="1"/>
  <c r="D37" i="12"/>
  <c r="F36" i="12"/>
  <c r="D36" i="12"/>
  <c r="F34" i="12"/>
  <c r="D34" i="12"/>
  <c r="H34" i="12" s="1"/>
  <c r="D35" i="12"/>
  <c r="F35" i="12"/>
  <c r="J49" i="12"/>
  <c r="K49" i="12" s="1"/>
  <c r="H36" i="12" l="1"/>
  <c r="D93" i="12" s="1"/>
  <c r="H35" i="12"/>
  <c r="D92" i="12" s="1"/>
  <c r="D91" i="12"/>
  <c r="O34" i="12"/>
  <c r="I34" i="12"/>
  <c r="K34" i="12" s="1"/>
  <c r="O36" i="12"/>
  <c r="I36" i="12"/>
  <c r="K36" i="12" s="1"/>
  <c r="O35" i="12"/>
  <c r="I35" i="12"/>
  <c r="K35" i="12" s="1"/>
  <c r="H37" i="12"/>
  <c r="D94" i="12" s="1"/>
  <c r="O37" i="12"/>
  <c r="I37" i="12"/>
  <c r="K37" i="12" s="1"/>
  <c r="E6" i="12"/>
  <c r="D187" i="12"/>
  <c r="E45" i="12" l="1"/>
  <c r="BB26" i="12"/>
  <c r="BB25" i="12"/>
  <c r="D45" i="12" l="1"/>
  <c r="F45" i="12"/>
  <c r="BA15" i="12"/>
  <c r="BB27" i="12"/>
  <c r="BC25" i="12" s="1"/>
  <c r="BA13" i="12"/>
  <c r="BA21" i="12"/>
  <c r="BA20" i="12"/>
  <c r="BA22" i="12"/>
  <c r="BA11" i="12"/>
  <c r="BA14" i="12"/>
  <c r="BA18" i="12"/>
  <c r="BA16" i="12"/>
  <c r="BA19" i="12"/>
  <c r="BA17" i="12"/>
  <c r="BA12" i="12"/>
  <c r="BI11" i="12"/>
  <c r="D10" i="13"/>
  <c r="D9" i="13"/>
  <c r="O45" i="12" l="1"/>
  <c r="I45" i="12"/>
  <c r="K45" i="12" s="1"/>
  <c r="BC26" i="12"/>
  <c r="H45" i="12"/>
  <c r="BC19" i="12"/>
  <c r="BB19" i="12"/>
  <c r="BD19" i="12"/>
  <c r="BB21" i="12"/>
  <c r="BC21" i="12"/>
  <c r="BD21" i="12"/>
  <c r="BB16" i="12"/>
  <c r="BC16" i="12"/>
  <c r="BD16" i="12"/>
  <c r="BD13" i="12"/>
  <c r="BC13" i="12"/>
  <c r="BB13" i="12"/>
  <c r="BD20" i="12"/>
  <c r="BB20" i="12"/>
  <c r="BC20" i="12"/>
  <c r="BD18" i="12"/>
  <c r="BC18" i="12"/>
  <c r="BB18" i="12"/>
  <c r="BB14" i="12"/>
  <c r="BC14" i="12"/>
  <c r="BD14" i="12"/>
  <c r="BC17" i="12"/>
  <c r="BB17" i="12"/>
  <c r="BD17" i="12"/>
  <c r="BC11" i="12"/>
  <c r="BD11" i="12"/>
  <c r="BB11" i="12"/>
  <c r="BB12" i="12"/>
  <c r="BD12" i="12"/>
  <c r="BC12" i="12"/>
  <c r="BB22" i="12"/>
  <c r="BC22" i="12"/>
  <c r="BD22" i="12"/>
  <c r="BD15" i="12"/>
  <c r="BC15" i="12"/>
  <c r="BB15" i="12"/>
  <c r="G183" i="12"/>
  <c r="L3" i="13"/>
  <c r="BE11" i="12" l="1"/>
  <c r="BH11" i="12" s="1"/>
  <c r="W45" i="12"/>
  <c r="X45" i="12"/>
  <c r="Y45" i="12"/>
  <c r="D102" i="12"/>
  <c r="BF11" i="12"/>
  <c r="Z115" i="12"/>
  <c r="Z116" i="12"/>
  <c r="Z98" i="12"/>
  <c r="Z42" i="12"/>
  <c r="Z109" i="12"/>
  <c r="Z102" i="12"/>
  <c r="Z41" i="12"/>
  <c r="Z105" i="12"/>
  <c r="Z110" i="12"/>
  <c r="Z97" i="12"/>
  <c r="Z40" i="12"/>
  <c r="Z113" i="12"/>
  <c r="Z108" i="12"/>
  <c r="Z100" i="12"/>
  <c r="Z106" i="12"/>
  <c r="Z111" i="12"/>
  <c r="Z46" i="12"/>
  <c r="Z114" i="12"/>
  <c r="Z101" i="12"/>
  <c r="Z45" i="12"/>
  <c r="Z112" i="12"/>
  <c r="Z96" i="12"/>
  <c r="Z44" i="12"/>
  <c r="Z107" i="12"/>
  <c r="Z99" i="12"/>
  <c r="Z43" i="12"/>
  <c r="J73" i="12"/>
  <c r="K73" i="12" s="1"/>
  <c r="C7" i="13" l="1"/>
  <c r="AL8" i="12"/>
  <c r="AM7" i="12"/>
  <c r="AE7" i="12"/>
  <c r="A50" i="12" l="1"/>
  <c r="AA39" i="12"/>
  <c r="AA38" i="12"/>
  <c r="AA37" i="12"/>
  <c r="AA36" i="12"/>
  <c r="AA35" i="12"/>
  <c r="AA34" i="12"/>
  <c r="AA33" i="12"/>
  <c r="AA32" i="12"/>
  <c r="AA31" i="12"/>
  <c r="AA30" i="12"/>
  <c r="AA29" i="12"/>
  <c r="AA28" i="12"/>
  <c r="AA27" i="12"/>
  <c r="AA50" i="12" l="1"/>
  <c r="V9" i="12"/>
  <c r="W9" i="12" s="1"/>
  <c r="X9" i="12" s="1"/>
  <c r="Y9" i="12" s="1"/>
  <c r="Z9" i="12" s="1"/>
  <c r="AA9" i="12" s="1"/>
  <c r="AB9" i="12" s="1"/>
  <c r="AC9" i="12" s="1"/>
  <c r="AD9" i="12" s="1"/>
  <c r="AE9" i="12" s="1"/>
  <c r="AF9" i="12" s="1"/>
  <c r="V82" i="12" l="1"/>
  <c r="W82" i="12" s="1"/>
  <c r="X82" i="12" s="1"/>
  <c r="Y82" i="12" s="1"/>
  <c r="Z82" i="12" s="1"/>
  <c r="AA82" i="12" s="1"/>
  <c r="R85" i="12" l="1"/>
  <c r="AA85" i="12" l="1"/>
  <c r="R86" i="12"/>
  <c r="AA86" i="12" l="1"/>
  <c r="R87" i="12"/>
  <c r="AA87" i="12" l="1"/>
  <c r="R88" i="12"/>
  <c r="AA88" i="12" l="1"/>
  <c r="R89" i="12"/>
  <c r="AA89" i="12" l="1"/>
  <c r="R90" i="12"/>
  <c r="AA90" i="12" l="1"/>
  <c r="R91" i="12"/>
  <c r="AA91" i="12" l="1"/>
  <c r="R92" i="12"/>
  <c r="AA92" i="12" l="1"/>
  <c r="R93" i="12"/>
  <c r="AA93" i="12" l="1"/>
  <c r="R94" i="12"/>
  <c r="AA94" i="12" l="1"/>
  <c r="R95" i="12"/>
  <c r="R96" i="12" s="1"/>
  <c r="AA95" i="12" l="1"/>
  <c r="R97" i="12"/>
  <c r="AA103" i="12" l="1"/>
  <c r="R98" i="12"/>
  <c r="R99" i="12" l="1"/>
  <c r="R100" i="12" l="1"/>
  <c r="R101" i="12" l="1"/>
  <c r="R102" i="12" s="1"/>
  <c r="R103" i="12" s="1"/>
  <c r="R104" i="12" s="1"/>
  <c r="R106" i="12" s="1"/>
  <c r="R107" i="12" s="1"/>
  <c r="R108" i="12" s="1"/>
  <c r="R109" i="12" s="1"/>
  <c r="R110" i="12" s="1"/>
  <c r="R111" i="12" s="1"/>
  <c r="R112" i="12" s="1"/>
  <c r="R113" i="12" s="1"/>
  <c r="R115" i="12" l="1"/>
  <c r="R114" i="12"/>
  <c r="R116" i="12" s="1"/>
  <c r="K47" i="12"/>
  <c r="I47" i="12"/>
  <c r="Q2" i="13" l="1"/>
  <c r="P7" i="13"/>
  <c r="E16" i="13" l="1"/>
  <c r="E17" i="13" s="1"/>
  <c r="E18" i="13" s="1"/>
  <c r="E19" i="13" s="1"/>
  <c r="E20" i="13" s="1"/>
  <c r="E21" i="13" s="1"/>
  <c r="E22" i="13" s="1"/>
  <c r="E23" i="13" s="1"/>
  <c r="E24" i="13" s="1"/>
  <c r="E25" i="13" s="1"/>
  <c r="E26" i="13" s="1"/>
  <c r="E27" i="13" s="1"/>
  <c r="H16" i="13"/>
  <c r="H17" i="13" s="1"/>
  <c r="H18" i="13" s="1"/>
  <c r="H19" i="13" s="1"/>
  <c r="H20" i="13" s="1"/>
  <c r="H21" i="13" s="1"/>
  <c r="H22" i="13" s="1"/>
  <c r="H23" i="13" s="1"/>
  <c r="H24" i="13" s="1"/>
  <c r="H25" i="13" s="1"/>
  <c r="H26" i="13" s="1"/>
  <c r="H27" i="13" s="1"/>
  <c r="J185" i="12" l="1"/>
  <c r="G184" i="12"/>
  <c r="J184" i="12" s="1"/>
  <c r="Q3" i="13" l="1"/>
  <c r="S3" i="13" s="1"/>
  <c r="W32" i="12" l="1"/>
  <c r="X32" i="12"/>
  <c r="Y32" i="12"/>
  <c r="W27" i="12" l="1"/>
  <c r="X27" i="12"/>
  <c r="Y27" i="12"/>
  <c r="W28" i="12"/>
  <c r="Y28" i="12"/>
  <c r="X28" i="12"/>
  <c r="W29" i="12"/>
  <c r="X29" i="12"/>
  <c r="Y29" i="12"/>
  <c r="W30" i="12"/>
  <c r="Y30" i="12"/>
  <c r="X30" i="12"/>
  <c r="W38" i="12"/>
  <c r="X38" i="12"/>
  <c r="Y38" i="12"/>
  <c r="W31" i="12"/>
  <c r="X31" i="12"/>
  <c r="Y31" i="12"/>
  <c r="W37" i="12"/>
  <c r="Y37" i="12"/>
  <c r="X37" i="12"/>
  <c r="W34" i="12"/>
  <c r="X34" i="12"/>
  <c r="Y34" i="12"/>
  <c r="W36" i="12"/>
  <c r="X36" i="12"/>
  <c r="Y36" i="12"/>
  <c r="W33" i="12"/>
  <c r="X33" i="12"/>
  <c r="Y33" i="12"/>
  <c r="W35" i="12"/>
  <c r="X35" i="12"/>
  <c r="Y35" i="12"/>
  <c r="W39" i="12"/>
  <c r="X39" i="12"/>
  <c r="Y39" i="12"/>
  <c r="E191" i="12"/>
  <c r="E190" i="12"/>
  <c r="F67" i="12" l="1"/>
  <c r="E67" i="12"/>
  <c r="D67" i="12"/>
  <c r="I26" i="12" l="1"/>
  <c r="H176" i="12" l="1"/>
  <c r="F176" i="12"/>
  <c r="I176" i="12" l="1"/>
  <c r="K67" i="12" l="1"/>
  <c r="K26" i="12"/>
  <c r="I183" i="12" l="1"/>
  <c r="L1" i="19" l="1"/>
  <c r="H50" i="12" l="1"/>
  <c r="H53" i="12" s="1"/>
  <c r="E68" i="12" s="1"/>
  <c r="D104" i="12" l="1"/>
  <c r="D117" i="12" s="1"/>
  <c r="E63" i="12"/>
  <c r="E59" i="12"/>
  <c r="G50" i="12"/>
  <c r="E50" i="12"/>
  <c r="J26" i="12"/>
  <c r="G46" i="12" l="1"/>
  <c r="G38" i="12"/>
  <c r="G34" i="12"/>
  <c r="G27" i="12"/>
  <c r="I23" i="12"/>
  <c r="L64" i="12"/>
  <c r="L63" i="12" s="1"/>
  <c r="X12" i="12"/>
  <c r="X21" i="12"/>
  <c r="X18" i="12"/>
  <c r="X16" i="12"/>
  <c r="X15" i="12"/>
  <c r="X20" i="12"/>
  <c r="X13" i="12"/>
  <c r="X19" i="12"/>
  <c r="Z13" i="12"/>
  <c r="X17" i="12"/>
  <c r="C104" i="12"/>
  <c r="AA104" i="12" s="1"/>
  <c r="C84" i="12"/>
  <c r="AA84" i="12" s="1"/>
  <c r="L59" i="12" l="1"/>
  <c r="BE12" i="12"/>
  <c r="Y17" i="12"/>
  <c r="Y21" i="12"/>
  <c r="Y12" i="12"/>
  <c r="Y14" i="12"/>
  <c r="Y19" i="12"/>
  <c r="Y18" i="12"/>
  <c r="Y20" i="12"/>
  <c r="Y15" i="12"/>
  <c r="W12" i="12"/>
  <c r="W13" i="12"/>
  <c r="BE13" i="12"/>
  <c r="W15" i="12"/>
  <c r="BE15" i="12"/>
  <c r="W20" i="12"/>
  <c r="BE20" i="12"/>
  <c r="W14" i="12"/>
  <c r="BE14" i="12"/>
  <c r="W21" i="12"/>
  <c r="BE21" i="12"/>
  <c r="W16" i="12"/>
  <c r="BE16" i="12"/>
  <c r="BE17" i="12"/>
  <c r="W18" i="12"/>
  <c r="BE18" i="12"/>
  <c r="BE22" i="12"/>
  <c r="W19" i="12"/>
  <c r="BE19" i="12"/>
  <c r="O18" i="12"/>
  <c r="W17" i="12"/>
  <c r="Y16" i="12"/>
  <c r="O21" i="12"/>
  <c r="O16" i="12"/>
  <c r="Z103" i="12"/>
  <c r="O20" i="12"/>
  <c r="O12" i="12"/>
  <c r="Z50" i="12"/>
  <c r="O19" i="12"/>
  <c r="O17" i="12"/>
  <c r="Z19" i="12"/>
  <c r="O15" i="12"/>
  <c r="Z90" i="12"/>
  <c r="Z36" i="12"/>
  <c r="Z17" i="12"/>
  <c r="Z95" i="12"/>
  <c r="Z33" i="12"/>
  <c r="O14" i="12"/>
  <c r="Z88" i="12"/>
  <c r="Z32" i="12"/>
  <c r="X11" i="12"/>
  <c r="X14" i="12"/>
  <c r="Z18" i="12"/>
  <c r="Z12" i="12"/>
  <c r="Z87" i="12"/>
  <c r="Z31" i="12"/>
  <c r="Z11" i="12"/>
  <c r="Z38" i="12"/>
  <c r="Z85" i="12"/>
  <c r="Z30" i="12"/>
  <c r="Z21" i="12"/>
  <c r="Z89" i="12"/>
  <c r="Z104" i="12"/>
  <c r="Z28" i="12"/>
  <c r="Y13" i="12"/>
  <c r="O13" i="12"/>
  <c r="Z93" i="12"/>
  <c r="Z39" i="12"/>
  <c r="Z20" i="12"/>
  <c r="Z94" i="12"/>
  <c r="Z86" i="12"/>
  <c r="Z37" i="12"/>
  <c r="Z29" i="12"/>
  <c r="Z16" i="12"/>
  <c r="Z15" i="12"/>
  <c r="Z92" i="12"/>
  <c r="Z84" i="12"/>
  <c r="Z35" i="12"/>
  <c r="Z27" i="12"/>
  <c r="Z14" i="12"/>
  <c r="Z91" i="12"/>
  <c r="Z34" i="12"/>
  <c r="Z22" i="12"/>
  <c r="O11" i="12"/>
  <c r="Y11" i="12"/>
  <c r="W11" i="12"/>
  <c r="I73" i="12"/>
  <c r="C2" i="13"/>
  <c r="BI22" i="12" l="1"/>
  <c r="BH22" i="12"/>
  <c r="BI21" i="12"/>
  <c r="BH21" i="12"/>
  <c r="BI19" i="12"/>
  <c r="BH19" i="12"/>
  <c r="BI18" i="12"/>
  <c r="BH18" i="12"/>
  <c r="BI20" i="12"/>
  <c r="BH20" i="12"/>
  <c r="BI17" i="12"/>
  <c r="BH17" i="12"/>
  <c r="BI16" i="12"/>
  <c r="BH16" i="12"/>
  <c r="BI15" i="12"/>
  <c r="BH15" i="12"/>
  <c r="BI14" i="12"/>
  <c r="BH14" i="12"/>
  <c r="BH13" i="12"/>
  <c r="BI13" i="12"/>
  <c r="BH12" i="12"/>
  <c r="BI12" i="12"/>
  <c r="D7" i="13"/>
  <c r="BI23" i="12" l="1"/>
  <c r="BH23" i="12"/>
  <c r="X50" i="12"/>
  <c r="B15" i="13"/>
  <c r="B16" i="13" s="1"/>
  <c r="C11" i="13"/>
  <c r="A10" i="13"/>
  <c r="A9" i="13"/>
  <c r="C15" i="13"/>
  <c r="L10" i="12"/>
  <c r="AR10" i="12" l="1"/>
  <c r="AG10" i="12"/>
  <c r="T10" i="12"/>
  <c r="V10" i="12"/>
  <c r="O3" i="12"/>
  <c r="B17" i="13"/>
  <c r="C17" i="13" s="1"/>
  <c r="C16" i="13"/>
  <c r="B18" i="13"/>
  <c r="B19" i="13" l="1"/>
  <c r="C18" i="13"/>
  <c r="B20" i="13" l="1"/>
  <c r="C19" i="13"/>
  <c r="C20" i="13" l="1"/>
  <c r="B21" i="13"/>
  <c r="B22" i="13" l="1"/>
  <c r="C21" i="13"/>
  <c r="B23" i="13" l="1"/>
  <c r="C22" i="13"/>
  <c r="C23" i="13" l="1"/>
  <c r="B24" i="13"/>
  <c r="B25" i="13" l="1"/>
  <c r="C24" i="13"/>
  <c r="B26" i="13" l="1"/>
  <c r="C25" i="13"/>
  <c r="B27" i="13" l="1"/>
  <c r="C26" i="13"/>
  <c r="C27" i="13" l="1"/>
  <c r="J183" i="12" l="1"/>
  <c r="N3" i="13" l="1"/>
  <c r="L2" i="13"/>
  <c r="D11" i="13" l="1"/>
  <c r="E73" i="12"/>
  <c r="F73" i="12" s="1"/>
  <c r="BF23" i="12"/>
  <c r="Y22" i="12"/>
  <c r="O22" i="12"/>
  <c r="X22" i="12"/>
  <c r="W22" i="12"/>
  <c r="D75" i="12" l="1"/>
  <c r="BG12" i="12"/>
  <c r="BG17" i="12"/>
  <c r="BG21" i="12"/>
  <c r="BG16" i="12"/>
  <c r="BG15" i="12"/>
  <c r="BG18" i="12"/>
  <c r="BG19" i="12"/>
  <c r="BG14" i="12"/>
  <c r="BG13" i="12"/>
  <c r="BG20" i="12"/>
  <c r="BG22" i="12"/>
  <c r="BG23" i="12" l="1"/>
  <c r="K50" i="12" l="1"/>
  <c r="K52" i="12" s="1"/>
  <c r="F2" i="13"/>
  <c r="H3" i="13" s="1"/>
  <c r="G194" i="12"/>
  <c r="E70" i="12"/>
  <c r="F3" i="13"/>
  <c r="E8" i="12"/>
  <c r="I50" i="12" l="1"/>
  <c r="F50" i="12" s="1"/>
  <c r="J63" i="12"/>
  <c r="I63" i="12" s="1"/>
  <c r="J59" i="12"/>
  <c r="I59" i="12" s="1"/>
  <c r="G195" i="12"/>
  <c r="G196" i="12"/>
  <c r="F51" i="12" l="1"/>
  <c r="D50" i="12"/>
  <c r="H59" i="12"/>
  <c r="D59" i="12"/>
  <c r="F59" i="12"/>
  <c r="H63" i="12"/>
  <c r="F63" i="12"/>
  <c r="D63" i="12"/>
  <c r="G197" i="12"/>
  <c r="Y50" i="12"/>
  <c r="K23" i="12"/>
  <c r="K68" i="12" s="1"/>
  <c r="D51" i="12" l="1"/>
  <c r="L46" i="12"/>
  <c r="L45" i="12"/>
  <c r="L44" i="12"/>
  <c r="L43" i="12"/>
  <c r="L42" i="12"/>
  <c r="L41" i="12"/>
  <c r="L40" i="12"/>
  <c r="AD40" i="12"/>
  <c r="AF46" i="12"/>
  <c r="AF40" i="12"/>
  <c r="AD42" i="12"/>
  <c r="AD44" i="12"/>
  <c r="AD41" i="12"/>
  <c r="AF42" i="12"/>
  <c r="AD43" i="12"/>
  <c r="AF44" i="12"/>
  <c r="AF41" i="12"/>
  <c r="AF43" i="12"/>
  <c r="AF45" i="12"/>
  <c r="AD45" i="12"/>
  <c r="AD46" i="12"/>
  <c r="W50" i="12"/>
  <c r="O50" i="12"/>
  <c r="AD11" i="12"/>
  <c r="L15" i="12"/>
  <c r="L38" i="12"/>
  <c r="L37" i="12"/>
  <c r="L39" i="12"/>
  <c r="L28" i="12"/>
  <c r="L21" i="12"/>
  <c r="L12" i="12"/>
  <c r="L11" i="12"/>
  <c r="L30" i="12"/>
  <c r="J68" i="12"/>
  <c r="I8" i="12" s="1"/>
  <c r="L29" i="12"/>
  <c r="L19" i="12"/>
  <c r="L36" i="12"/>
  <c r="L33" i="12"/>
  <c r="L32" i="12"/>
  <c r="L18" i="12"/>
  <c r="L14" i="12"/>
  <c r="L35" i="12"/>
  <c r="L17" i="12"/>
  <c r="L16" i="12"/>
  <c r="L13" i="12"/>
  <c r="L31" i="12"/>
  <c r="L27" i="12"/>
  <c r="L20" i="12"/>
  <c r="L22" i="12"/>
  <c r="L50" i="12"/>
  <c r="L34" i="12"/>
  <c r="AD37" i="12"/>
  <c r="AF33" i="12"/>
  <c r="AD32" i="12"/>
  <c r="AD35" i="12"/>
  <c r="AD50" i="12"/>
  <c r="AF36" i="12"/>
  <c r="AF34" i="12"/>
  <c r="AF35" i="12"/>
  <c r="AD27" i="12"/>
  <c r="AD36" i="12"/>
  <c r="AD34" i="12"/>
  <c r="AD31" i="12"/>
  <c r="AF31" i="12"/>
  <c r="AF50" i="12"/>
  <c r="AF27" i="12"/>
  <c r="AD28" i="12"/>
  <c r="AF30" i="12"/>
  <c r="AF28" i="12"/>
  <c r="AF38" i="12"/>
  <c r="AD30" i="12"/>
  <c r="AF29" i="12"/>
  <c r="AD38" i="12"/>
  <c r="AF39" i="12"/>
  <c r="AD29" i="12"/>
  <c r="AD39" i="12"/>
  <c r="AF37" i="12"/>
  <c r="AD33" i="12"/>
  <c r="AF32" i="12"/>
  <c r="AD20" i="12"/>
  <c r="AD19" i="12"/>
  <c r="AD14" i="12"/>
  <c r="AF15" i="12"/>
  <c r="AF13" i="12"/>
  <c r="AD22" i="12"/>
  <c r="AF12" i="12"/>
  <c r="AD18" i="12"/>
  <c r="AF18" i="12"/>
  <c r="AD17" i="12"/>
  <c r="AF19" i="12"/>
  <c r="AD13" i="12"/>
  <c r="AD12" i="12"/>
  <c r="AF14" i="12"/>
  <c r="AF22" i="12"/>
  <c r="AF16" i="12"/>
  <c r="AF21" i="12"/>
  <c r="AD15" i="12"/>
  <c r="AD16" i="12"/>
  <c r="AF17" i="12"/>
  <c r="AD21" i="12"/>
  <c r="AF20" i="12"/>
  <c r="AF11" i="12"/>
  <c r="L52" i="12" l="1"/>
  <c r="E184" i="12" s="1"/>
  <c r="AG42" i="12"/>
  <c r="AH42" i="12" s="1"/>
  <c r="AG40" i="12"/>
  <c r="AH40" i="12" s="1"/>
  <c r="AG43" i="12"/>
  <c r="AH43" i="12" s="1"/>
  <c r="T42" i="12"/>
  <c r="V42" i="12"/>
  <c r="T43" i="12"/>
  <c r="V43" i="12"/>
  <c r="AG45" i="12"/>
  <c r="AH45" i="12" s="1"/>
  <c r="T44" i="12"/>
  <c r="V44" i="12"/>
  <c r="T45" i="12"/>
  <c r="V45" i="12"/>
  <c r="T41" i="12"/>
  <c r="V41" i="12"/>
  <c r="AG41" i="12"/>
  <c r="AH41" i="12" s="1"/>
  <c r="AG46" i="12"/>
  <c r="AH46" i="12" s="1"/>
  <c r="T46" i="12"/>
  <c r="V46" i="12"/>
  <c r="AG44" i="12"/>
  <c r="AH44" i="12" s="1"/>
  <c r="T40" i="12"/>
  <c r="V40" i="12"/>
  <c r="AG11" i="12"/>
  <c r="AH11" i="12" s="1"/>
  <c r="AG35" i="12"/>
  <c r="AH35" i="12" s="1"/>
  <c r="AG18" i="12"/>
  <c r="AH18" i="12" s="1"/>
  <c r="AG30" i="12"/>
  <c r="AH30" i="12" s="1"/>
  <c r="AG22" i="12"/>
  <c r="AH22" i="12" s="1"/>
  <c r="AG34" i="12"/>
  <c r="AH34" i="12" s="1"/>
  <c r="AG16" i="12"/>
  <c r="AH16" i="12" s="1"/>
  <c r="AG32" i="12"/>
  <c r="AH32" i="12" s="1"/>
  <c r="AG12" i="12"/>
  <c r="AH12" i="12" s="1"/>
  <c r="AG31" i="12"/>
  <c r="AH31" i="12" s="1"/>
  <c r="AG29" i="12"/>
  <c r="AH29" i="12" s="1"/>
  <c r="AG19" i="12"/>
  <c r="AH19" i="12" s="1"/>
  <c r="AG28" i="12"/>
  <c r="AH28" i="12" s="1"/>
  <c r="AG33" i="12"/>
  <c r="AH33" i="12" s="1"/>
  <c r="AG15" i="12"/>
  <c r="AH15" i="12" s="1"/>
  <c r="AG21" i="12"/>
  <c r="AH21" i="12" s="1"/>
  <c r="V33" i="12"/>
  <c r="V36" i="12"/>
  <c r="AG27" i="12"/>
  <c r="AH27" i="12" s="1"/>
  <c r="V50" i="12"/>
  <c r="V35" i="12"/>
  <c r="V19" i="12"/>
  <c r="V39" i="12"/>
  <c r="V16" i="12"/>
  <c r="V21" i="12"/>
  <c r="AG39" i="12"/>
  <c r="AH39" i="12" s="1"/>
  <c r="V34" i="12"/>
  <c r="V17" i="12"/>
  <c r="V28" i="12"/>
  <c r="AG20" i="12"/>
  <c r="AH20" i="12" s="1"/>
  <c r="AG14" i="12"/>
  <c r="AH14" i="12" s="1"/>
  <c r="AG50" i="12"/>
  <c r="AH50" i="12" s="1"/>
  <c r="AG36" i="12"/>
  <c r="AH36" i="12" s="1"/>
  <c r="V22" i="12"/>
  <c r="V14" i="12"/>
  <c r="V29" i="12"/>
  <c r="V37" i="12"/>
  <c r="V20" i="12"/>
  <c r="B5" i="13"/>
  <c r="H68" i="12"/>
  <c r="H8" i="12" s="1"/>
  <c r="D24" i="13"/>
  <c r="D19" i="13"/>
  <c r="D68" i="12"/>
  <c r="D23" i="13"/>
  <c r="K3" i="13"/>
  <c r="F68" i="12"/>
  <c r="D25" i="13"/>
  <c r="H178" i="12"/>
  <c r="D21" i="13"/>
  <c r="P3" i="13"/>
  <c r="R2" i="13" s="1"/>
  <c r="R3" i="13" s="1"/>
  <c r="L8" i="13"/>
  <c r="D27" i="13"/>
  <c r="H73" i="12"/>
  <c r="F178" i="12"/>
  <c r="D16" i="13"/>
  <c r="D15" i="13"/>
  <c r="L9" i="13"/>
  <c r="D22" i="13"/>
  <c r="D18" i="13"/>
  <c r="D26" i="13"/>
  <c r="D17" i="13"/>
  <c r="D20" i="13"/>
  <c r="V38" i="12"/>
  <c r="AG17" i="12"/>
  <c r="AH17" i="12" s="1"/>
  <c r="V27" i="12"/>
  <c r="V30" i="12"/>
  <c r="V15" i="12"/>
  <c r="AG13" i="12"/>
  <c r="AH13" i="12" s="1"/>
  <c r="AG37" i="12"/>
  <c r="AH37" i="12" s="1"/>
  <c r="AG38" i="12"/>
  <c r="AH38" i="12" s="1"/>
  <c r="V31" i="12"/>
  <c r="V18" i="12"/>
  <c r="L23" i="12"/>
  <c r="V11" i="12"/>
  <c r="V13" i="12"/>
  <c r="V32" i="12"/>
  <c r="V12" i="12"/>
  <c r="E74" i="12" l="1"/>
  <c r="E96" i="12" s="1"/>
  <c r="E178" i="12"/>
  <c r="G66" i="12" s="1"/>
  <c r="L10" i="13"/>
  <c r="G17" i="13"/>
  <c r="F17" i="13"/>
  <c r="I194" i="12"/>
  <c r="F70" i="12"/>
  <c r="F8" i="12"/>
  <c r="E183" i="12"/>
  <c r="E189" i="12" s="1"/>
  <c r="L24" i="12"/>
  <c r="M2" i="13"/>
  <c r="M3" i="13"/>
  <c r="F26" i="13"/>
  <c r="G26" i="13"/>
  <c r="F27" i="13"/>
  <c r="G27" i="13"/>
  <c r="G23" i="13"/>
  <c r="F23" i="13"/>
  <c r="E194" i="12"/>
  <c r="D70" i="12"/>
  <c r="D8" i="12"/>
  <c r="F22" i="13"/>
  <c r="G22" i="13"/>
  <c r="G21" i="13"/>
  <c r="F21" i="13"/>
  <c r="G24" i="13"/>
  <c r="F24" i="13"/>
  <c r="F18" i="13"/>
  <c r="G18" i="13"/>
  <c r="F19" i="13"/>
  <c r="G19" i="13"/>
  <c r="G15" i="13"/>
  <c r="F15" i="13"/>
  <c r="F20" i="13"/>
  <c r="G20" i="13"/>
  <c r="G16" i="13"/>
  <c r="F16" i="13"/>
  <c r="F25" i="13"/>
  <c r="G25" i="13"/>
  <c r="E93" i="12" l="1"/>
  <c r="E95" i="12"/>
  <c r="E104" i="12"/>
  <c r="E97" i="12"/>
  <c r="E100" i="12"/>
  <c r="E94" i="12"/>
  <c r="E101" i="12"/>
  <c r="E92" i="12"/>
  <c r="E98" i="12"/>
  <c r="E102" i="12"/>
  <c r="E99" i="12"/>
  <c r="F94" i="12"/>
  <c r="F97" i="12"/>
  <c r="F101" i="12"/>
  <c r="F95" i="12"/>
  <c r="F99" i="12"/>
  <c r="F93" i="12"/>
  <c r="F100" i="12"/>
  <c r="F89" i="12"/>
  <c r="F98" i="12"/>
  <c r="F103" i="12"/>
  <c r="F91" i="12"/>
  <c r="F87" i="12"/>
  <c r="F86" i="12"/>
  <c r="F102" i="12"/>
  <c r="F90" i="12"/>
  <c r="F96" i="12"/>
  <c r="F85" i="12"/>
  <c r="F84" i="12"/>
  <c r="F88" i="12"/>
  <c r="F104" i="12"/>
  <c r="F92" i="12"/>
  <c r="E103" i="12"/>
  <c r="E110" i="12"/>
  <c r="T110" i="12" s="1"/>
  <c r="E88" i="12"/>
  <c r="E108" i="12"/>
  <c r="T108" i="12" s="1"/>
  <c r="E113" i="12"/>
  <c r="T113" i="12" s="1"/>
  <c r="E89" i="12"/>
  <c r="E86" i="12"/>
  <c r="E111" i="12"/>
  <c r="T111" i="12" s="1"/>
  <c r="E87" i="12"/>
  <c r="E115" i="12"/>
  <c r="T115" i="12" s="1"/>
  <c r="E109" i="12"/>
  <c r="T109" i="12" s="1"/>
  <c r="E85" i="12"/>
  <c r="E106" i="12"/>
  <c r="T106" i="12" s="1"/>
  <c r="E112" i="12"/>
  <c r="T112" i="12" s="1"/>
  <c r="E84" i="12"/>
  <c r="E107" i="12"/>
  <c r="T107" i="12" s="1"/>
  <c r="E105" i="12"/>
  <c r="T105" i="12" s="1"/>
  <c r="E116" i="12"/>
  <c r="T116" i="12" s="1"/>
  <c r="E114" i="12"/>
  <c r="T114" i="12" s="1"/>
  <c r="E90" i="12"/>
  <c r="E91" i="12"/>
  <c r="E187" i="12"/>
  <c r="E199" i="12" s="1"/>
  <c r="J76" i="12"/>
  <c r="H24" i="12"/>
  <c r="F6" i="12"/>
  <c r="I195" i="12"/>
  <c r="I196" i="12"/>
  <c r="E195" i="12"/>
  <c r="E196" i="12"/>
  <c r="V101" i="12" l="1"/>
  <c r="V102" i="12"/>
  <c r="V95" i="12"/>
  <c r="V97" i="12"/>
  <c r="J96" i="12"/>
  <c r="T96" i="12"/>
  <c r="J98" i="12"/>
  <c r="T98" i="12"/>
  <c r="J94" i="12"/>
  <c r="T94" i="12"/>
  <c r="J90" i="12"/>
  <c r="T90" i="12"/>
  <c r="J92" i="12"/>
  <c r="T92" i="12"/>
  <c r="J102" i="12"/>
  <c r="T102" i="12"/>
  <c r="J100" i="12"/>
  <c r="T100" i="12"/>
  <c r="V96" i="12"/>
  <c r="V98" i="12"/>
  <c r="J104" i="12"/>
  <c r="T104" i="12"/>
  <c r="J86" i="12"/>
  <c r="T86" i="12"/>
  <c r="J93" i="12"/>
  <c r="T93" i="12"/>
  <c r="V93" i="12"/>
  <c r="J88" i="12"/>
  <c r="T88" i="12"/>
  <c r="J87" i="12"/>
  <c r="T87" i="12"/>
  <c r="J99" i="12"/>
  <c r="T99" i="12"/>
  <c r="J84" i="12"/>
  <c r="T84" i="12"/>
  <c r="J95" i="12"/>
  <c r="T95" i="12"/>
  <c r="V92" i="12"/>
  <c r="J89" i="12"/>
  <c r="T89" i="12"/>
  <c r="J91" i="12"/>
  <c r="T91" i="12"/>
  <c r="J101" i="12"/>
  <c r="T101" i="12"/>
  <c r="V94" i="12"/>
  <c r="V104" i="12"/>
  <c r="J85" i="12"/>
  <c r="T85" i="12"/>
  <c r="J103" i="12"/>
  <c r="T103" i="12"/>
  <c r="J97" i="12"/>
  <c r="T97" i="12"/>
  <c r="V100" i="12"/>
  <c r="V89" i="12"/>
  <c r="V108" i="12"/>
  <c r="V112" i="12"/>
  <c r="V90" i="12"/>
  <c r="V114" i="12"/>
  <c r="V109" i="12"/>
  <c r="V88" i="12"/>
  <c r="V113" i="12"/>
  <c r="V116" i="12"/>
  <c r="V115" i="12"/>
  <c r="V110" i="12"/>
  <c r="V85" i="12"/>
  <c r="V103" i="12"/>
  <c r="V99" i="12"/>
  <c r="V106" i="12"/>
  <c r="V87" i="12"/>
  <c r="V111" i="12"/>
  <c r="V91" i="12"/>
  <c r="V105" i="12"/>
  <c r="V107" i="12"/>
  <c r="V84" i="12"/>
  <c r="V86" i="12"/>
  <c r="F117" i="12"/>
  <c r="E117" i="12"/>
  <c r="I197" i="12"/>
  <c r="E197" i="12"/>
  <c r="J117" i="12" l="1"/>
  <c r="U84" i="12"/>
  <c r="U115" i="12"/>
  <c r="E193" i="12"/>
  <c r="U116" i="12"/>
  <c r="U102" i="12"/>
  <c r="U93" i="12"/>
  <c r="U96" i="12"/>
  <c r="U90" i="12"/>
  <c r="U95" i="12"/>
  <c r="U94" i="12"/>
  <c r="U111" i="12"/>
  <c r="U105" i="12"/>
  <c r="U98" i="12"/>
  <c r="U103" i="12"/>
  <c r="U114" i="12"/>
  <c r="U104" i="12"/>
  <c r="U113" i="12"/>
  <c r="U91" i="12"/>
  <c r="U106" i="12"/>
  <c r="U87" i="12"/>
  <c r="U88" i="12"/>
  <c r="U107" i="12"/>
  <c r="U112" i="12"/>
  <c r="U110" i="12"/>
  <c r="U100" i="12"/>
  <c r="U97" i="12"/>
  <c r="U92" i="12"/>
  <c r="U99" i="12"/>
  <c r="U109" i="12"/>
  <c r="U85" i="12"/>
  <c r="U108" i="12"/>
  <c r="U86" i="12"/>
  <c r="U101" i="12"/>
  <c r="U89" i="12"/>
  <c r="BQ84" i="12" l="1"/>
  <c r="BS99" i="12"/>
  <c r="BQ98" i="12"/>
  <c r="BQ102" i="12"/>
  <c r="BQ99" i="12"/>
  <c r="BS102" i="12"/>
  <c r="BS98" i="12"/>
  <c r="BQ101" i="12"/>
  <c r="BQ97" i="12"/>
  <c r="BS101" i="12"/>
  <c r="BS97" i="12"/>
  <c r="BQ100" i="12"/>
  <c r="BS96" i="12"/>
  <c r="BS100" i="12"/>
  <c r="BQ96" i="12"/>
  <c r="BS84" i="12"/>
  <c r="BS89" i="12"/>
  <c r="BQ90" i="12"/>
  <c r="BQ103" i="12"/>
  <c r="BQ91" i="12"/>
  <c r="BS87" i="12"/>
  <c r="BQ88" i="12"/>
  <c r="BQ92" i="12"/>
  <c r="BQ89" i="12"/>
  <c r="BQ87" i="12"/>
  <c r="BS95" i="12"/>
  <c r="BQ85" i="12"/>
  <c r="BS104" i="12"/>
  <c r="BS85" i="12"/>
  <c r="BS91" i="12"/>
  <c r="BQ86" i="12"/>
  <c r="BS90" i="12"/>
  <c r="BS86" i="12"/>
  <c r="BS94" i="12"/>
  <c r="BS93" i="12"/>
  <c r="BQ95" i="12"/>
  <c r="BQ93" i="12"/>
  <c r="BS92" i="12"/>
  <c r="BS103" i="12"/>
  <c r="BQ104" i="12"/>
  <c r="BQ94" i="12"/>
  <c r="BS88" i="12"/>
  <c r="R50" i="12"/>
  <c r="T50" i="12" l="1"/>
  <c r="R15" i="12"/>
  <c r="T15" i="12" l="1"/>
  <c r="R36" i="12"/>
  <c r="T36" i="12" l="1"/>
  <c r="R35" i="12"/>
  <c r="T35" i="12" l="1"/>
  <c r="R34" i="12"/>
  <c r="T34" i="12" l="1"/>
  <c r="R21" i="12"/>
  <c r="T21" i="12" l="1"/>
  <c r="R39" i="12"/>
  <c r="T39" i="12" l="1"/>
  <c r="R32" i="12"/>
  <c r="T32" i="12" l="1"/>
  <c r="R20" i="12"/>
  <c r="T20" i="12" l="1"/>
  <c r="R19" i="12"/>
  <c r="T19" i="12" l="1"/>
  <c r="R13" i="12"/>
  <c r="T13" i="12" l="1"/>
  <c r="R30" i="12"/>
  <c r="T30" i="12" l="1"/>
  <c r="R31" i="12"/>
  <c r="T31" i="12" l="1"/>
  <c r="S35" i="12"/>
  <c r="S33" i="12"/>
  <c r="S36" i="12"/>
  <c r="S30" i="12"/>
  <c r="S50" i="12"/>
  <c r="S37" i="12"/>
  <c r="S32" i="12"/>
  <c r="S38" i="12"/>
  <c r="R27" i="12"/>
  <c r="S28" i="12"/>
  <c r="S27" i="12"/>
  <c r="S39" i="12"/>
  <c r="S34" i="12"/>
  <c r="S29" i="12"/>
  <c r="S31" i="12"/>
  <c r="T27" i="12" l="1"/>
  <c r="R12" i="12"/>
  <c r="T12" i="12" l="1"/>
  <c r="R16" i="12"/>
  <c r="T16" i="12" l="1"/>
  <c r="R18" i="12"/>
  <c r="T18" i="12" l="1"/>
  <c r="R14" i="12"/>
  <c r="T14" i="12" l="1"/>
  <c r="R38" i="12"/>
  <c r="T38" i="12" l="1"/>
  <c r="R22" i="12"/>
  <c r="T22" i="12" l="1"/>
  <c r="R37" i="12"/>
  <c r="T37" i="12" l="1"/>
  <c r="R28" i="12"/>
  <c r="T28" i="12" l="1"/>
  <c r="R33" i="12"/>
  <c r="T33" i="12" l="1"/>
  <c r="R17" i="12"/>
  <c r="T17" i="12" l="1"/>
  <c r="R29" i="12"/>
  <c r="T29" i="12" l="1"/>
  <c r="S18" i="12"/>
  <c r="S21" i="12"/>
  <c r="S13" i="12"/>
  <c r="S11" i="12"/>
  <c r="R11" i="12"/>
  <c r="S12" i="12"/>
  <c r="S14" i="12"/>
  <c r="S19" i="12"/>
  <c r="S22" i="12"/>
  <c r="S16" i="12"/>
  <c r="S20" i="12"/>
  <c r="S17" i="12"/>
  <c r="S15" i="12"/>
  <c r="T11" i="12" l="1"/>
  <c r="R6" i="12"/>
  <c r="U45" i="12" l="1"/>
  <c r="U46" i="12"/>
  <c r="U44" i="12"/>
  <c r="U43" i="12"/>
  <c r="U41" i="12"/>
  <c r="U40" i="12"/>
  <c r="U42" i="12"/>
  <c r="U11" i="12"/>
  <c r="U50" i="12"/>
  <c r="U15" i="12"/>
  <c r="U36" i="12"/>
  <c r="U35" i="12"/>
  <c r="U34" i="12"/>
  <c r="U21" i="12"/>
  <c r="U39" i="12"/>
  <c r="U32" i="12"/>
  <c r="U20" i="12"/>
  <c r="U19" i="12"/>
  <c r="U13" i="12"/>
  <c r="U30" i="12"/>
  <c r="U31" i="12"/>
  <c r="U27" i="12"/>
  <c r="U12" i="12"/>
  <c r="U16" i="12"/>
  <c r="U18" i="12"/>
  <c r="U14" i="12"/>
  <c r="U38" i="12"/>
  <c r="U22" i="12"/>
  <c r="U37" i="12"/>
  <c r="U28" i="12"/>
  <c r="U33" i="12"/>
  <c r="U17" i="12"/>
  <c r="U29" i="12"/>
  <c r="AU40" i="12" l="1"/>
  <c r="AP41" i="12"/>
  <c r="AT43" i="12"/>
  <c r="AJ44" i="12"/>
  <c r="AS46" i="12"/>
  <c r="AT40" i="12"/>
  <c r="AJ41" i="12"/>
  <c r="AS43" i="12"/>
  <c r="AU45" i="12"/>
  <c r="AP46" i="12"/>
  <c r="AT46" i="12"/>
  <c r="AS40" i="12"/>
  <c r="AU42" i="12"/>
  <c r="AP43" i="12"/>
  <c r="AT45" i="12"/>
  <c r="AJ46" i="12"/>
  <c r="AP45" i="12"/>
  <c r="AS44" i="12"/>
  <c r="AU43" i="12"/>
  <c r="AP40" i="12"/>
  <c r="AT42" i="12"/>
  <c r="AJ43" i="12"/>
  <c r="AS45" i="12"/>
  <c r="AJ40" i="12"/>
  <c r="AS42" i="12"/>
  <c r="AU44" i="12"/>
  <c r="AJ42" i="12"/>
  <c r="AU46" i="12"/>
  <c r="AP44" i="12"/>
  <c r="AU41" i="12"/>
  <c r="AP42" i="12"/>
  <c r="AT44" i="12"/>
  <c r="AJ45" i="12"/>
  <c r="AT41" i="12"/>
  <c r="AS41" i="12"/>
  <c r="U6" i="12"/>
  <c r="AJ50" i="12"/>
  <c r="AP50" i="12"/>
  <c r="AS15" i="12"/>
  <c r="AM15" i="12"/>
  <c r="AU15" i="12"/>
  <c r="AT15" i="12"/>
  <c r="AJ15" i="12"/>
  <c r="AR15" i="12"/>
  <c r="AP15" i="12" s="1"/>
  <c r="AL15" i="12"/>
  <c r="AN15" i="12"/>
  <c r="AJ36" i="12"/>
  <c r="AP36" i="12"/>
  <c r="AS36" i="12"/>
  <c r="AU36" i="12"/>
  <c r="AT36" i="12"/>
  <c r="AT35" i="12"/>
  <c r="AP35" i="12"/>
  <c r="AJ35" i="12"/>
  <c r="AU35" i="12"/>
  <c r="AS35" i="12"/>
  <c r="AU34" i="12"/>
  <c r="AJ34" i="12"/>
  <c r="AT34" i="12"/>
  <c r="AS34" i="12"/>
  <c r="AP34" i="12"/>
  <c r="AS21" i="12"/>
  <c r="AR21" i="12"/>
  <c r="AP21" i="12" s="1"/>
  <c r="AL21" i="12"/>
  <c r="AT21" i="12"/>
  <c r="AN21" i="12"/>
  <c r="AM21" i="12"/>
  <c r="AJ21" i="12"/>
  <c r="AU21" i="12"/>
  <c r="AU39" i="12"/>
  <c r="AP39" i="12"/>
  <c r="AJ39" i="12"/>
  <c r="AS39" i="12"/>
  <c r="AT39" i="12"/>
  <c r="AU32" i="12"/>
  <c r="AJ32" i="12"/>
  <c r="AS32" i="12"/>
  <c r="AT32" i="12"/>
  <c r="AP32" i="12"/>
  <c r="AM20" i="12"/>
  <c r="AL20" i="12"/>
  <c r="AS20" i="12"/>
  <c r="AR20" i="12"/>
  <c r="AP20" i="12" s="1"/>
  <c r="AT20" i="12"/>
  <c r="AN20" i="12"/>
  <c r="AJ20" i="12"/>
  <c r="AU20" i="12"/>
  <c r="AR19" i="12"/>
  <c r="AP19" i="12" s="1"/>
  <c r="AL19" i="12"/>
  <c r="AS19" i="12"/>
  <c r="AJ19" i="12"/>
  <c r="AT19" i="12"/>
  <c r="AM19" i="12"/>
  <c r="AN19" i="12"/>
  <c r="AU19" i="12"/>
  <c r="AS13" i="12"/>
  <c r="AU13" i="12"/>
  <c r="AR13" i="12"/>
  <c r="AP13" i="12" s="1"/>
  <c r="AT13" i="12"/>
  <c r="AM13" i="12"/>
  <c r="AL13" i="12"/>
  <c r="AJ13" i="12"/>
  <c r="AN13" i="12"/>
  <c r="AS30" i="12"/>
  <c r="AP30" i="12"/>
  <c r="AT30" i="12"/>
  <c r="AJ30" i="12"/>
  <c r="AU30" i="12"/>
  <c r="AS31" i="12"/>
  <c r="AJ31" i="12"/>
  <c r="AP31" i="12"/>
  <c r="AU31" i="12"/>
  <c r="AT31" i="12"/>
  <c r="AS27" i="12"/>
  <c r="AT27" i="12"/>
  <c r="AP27" i="12"/>
  <c r="AJ27" i="12"/>
  <c r="AU27" i="12"/>
  <c r="AS12" i="12"/>
  <c r="AU12" i="12"/>
  <c r="AJ12" i="12"/>
  <c r="AL12" i="12"/>
  <c r="AT12" i="12"/>
  <c r="AN12" i="12"/>
  <c r="AR12" i="12"/>
  <c r="AP12" i="12" s="1"/>
  <c r="AM12" i="12"/>
  <c r="AS16" i="12"/>
  <c r="AR16" i="12"/>
  <c r="AP16" i="12" s="1"/>
  <c r="AJ16" i="12"/>
  <c r="AN16" i="12"/>
  <c r="AT16" i="12"/>
  <c r="AU16" i="12"/>
  <c r="AL16" i="12"/>
  <c r="AM16" i="12"/>
  <c r="AS18" i="12"/>
  <c r="AL18" i="12"/>
  <c r="AJ18" i="12"/>
  <c r="AU18" i="12"/>
  <c r="AM18" i="12"/>
  <c r="AT18" i="12"/>
  <c r="AR18" i="12"/>
  <c r="AP18" i="12" s="1"/>
  <c r="AN18" i="12"/>
  <c r="AL14" i="12"/>
  <c r="AM14" i="12"/>
  <c r="AS14" i="12"/>
  <c r="AN14" i="12"/>
  <c r="AT14" i="12"/>
  <c r="AJ14" i="12"/>
  <c r="AR14" i="12"/>
  <c r="AP14" i="12" s="1"/>
  <c r="AU14" i="12"/>
  <c r="AU38" i="12"/>
  <c r="AS38" i="12"/>
  <c r="AP38" i="12"/>
  <c r="AJ38" i="12"/>
  <c r="AT38" i="12"/>
  <c r="AR22" i="12"/>
  <c r="AP22" i="12" s="1"/>
  <c r="AT22" i="12"/>
  <c r="AS22" i="12"/>
  <c r="AU22" i="12"/>
  <c r="AJ22" i="12"/>
  <c r="AN22" i="12"/>
  <c r="AL22" i="12"/>
  <c r="AM22" i="12"/>
  <c r="AU37" i="12"/>
  <c r="AS37" i="12"/>
  <c r="AT37" i="12"/>
  <c r="AP37" i="12"/>
  <c r="AJ37" i="12"/>
  <c r="AP28" i="12"/>
  <c r="AS28" i="12"/>
  <c r="AU28" i="12"/>
  <c r="AJ28" i="12"/>
  <c r="AT28" i="12"/>
  <c r="AU33" i="12"/>
  <c r="AS33" i="12"/>
  <c r="AT33" i="12"/>
  <c r="AJ33" i="12"/>
  <c r="AP33" i="12"/>
  <c r="AL17" i="12"/>
  <c r="AJ17" i="12"/>
  <c r="AU17" i="12"/>
  <c r="AR17" i="12"/>
  <c r="AP17" i="12" s="1"/>
  <c r="AM17" i="12"/>
  <c r="AN17" i="12"/>
  <c r="AT17" i="12"/>
  <c r="AS17" i="12"/>
  <c r="AS29" i="12"/>
  <c r="AT29" i="12"/>
  <c r="AP29" i="12"/>
  <c r="AU29" i="12"/>
  <c r="AJ29" i="12"/>
  <c r="AS11" i="12"/>
  <c r="AR11" i="12"/>
  <c r="AP11" i="12" s="1"/>
  <c r="AU11" i="12"/>
  <c r="AM11" i="12"/>
  <c r="AJ11" i="12"/>
  <c r="AL11" i="12"/>
  <c r="AN11" i="12"/>
  <c r="AT11" i="12"/>
  <c r="AX22" i="12" l="1"/>
  <c r="AW22" i="12"/>
  <c r="AY22" i="12"/>
  <c r="AX17" i="12"/>
  <c r="AY17" i="12"/>
  <c r="AW17" i="12"/>
  <c r="AW16" i="12"/>
  <c r="AX16" i="12"/>
  <c r="AY16" i="12"/>
  <c r="AX18" i="12"/>
  <c r="AW18" i="12"/>
  <c r="AY18" i="12"/>
  <c r="AW12" i="12"/>
  <c r="AY12" i="12"/>
  <c r="AX12" i="12"/>
  <c r="AW13" i="12"/>
  <c r="AY13" i="12"/>
  <c r="AX13" i="12"/>
  <c r="AW11" i="12"/>
  <c r="AX11" i="12"/>
  <c r="AY11" i="12"/>
  <c r="AW19" i="12"/>
  <c r="AX19" i="12"/>
  <c r="AY19" i="12"/>
  <c r="AX20" i="12"/>
  <c r="AY20" i="12"/>
  <c r="AW20" i="12"/>
  <c r="AW21" i="12"/>
  <c r="AX21" i="12"/>
  <c r="AY21" i="12"/>
  <c r="AY15" i="12"/>
  <c r="AX15" i="12"/>
  <c r="AW15" i="12"/>
  <c r="AY14" i="12"/>
  <c r="AW14" i="12"/>
  <c r="AX14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Henrik K Søndergaard</author>
    <author>HKS Consult</author>
    <author>Soendergaard, Henrik Knudsen (E W OF COE TPM)</author>
    <author>HKS-Consult</author>
  </authors>
  <commentList>
    <comment ref="BK2" authorId="0" shapeId="0" xr:uid="{85817100-F930-4529-9D7F-CA0BED4F32ED}">
      <text>
        <r>
          <rPr>
            <b/>
            <sz val="9"/>
            <color indexed="81"/>
            <rFont val="Tahoma"/>
            <family val="2"/>
          </rPr>
          <t>Henrik K Søndergaard:</t>
        </r>
        <r>
          <rPr>
            <sz val="9"/>
            <color indexed="81"/>
            <rFont val="Tahoma"/>
            <family val="2"/>
          </rPr>
          <t xml:space="preserve">
Found in the Steen's handbook p125.
Also used in the Futura program.</t>
        </r>
      </text>
    </comment>
    <comment ref="J10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HKS Consult:</t>
        </r>
        <r>
          <rPr>
            <sz val="9"/>
            <color indexed="81"/>
            <rFont val="Tahoma"/>
            <family val="2"/>
          </rPr>
          <t xml:space="preserve">
To be used after some training in the method.
IF an element is not critical at all then Criticallity=0% and the uncertainty is set = 0 but the Mean value still be added to the total Mean
IF an element if fully contributing to uncertaint the set value = 100%</t>
        </r>
      </text>
    </comment>
    <comment ref="K10" authorId="2" shapeId="0" xr:uid="{00000000-0006-0000-0100-000003000000}">
      <text>
        <r>
          <rPr>
            <b/>
            <sz val="9"/>
            <color indexed="81"/>
            <rFont val="Tahoma"/>
            <family val="2"/>
          </rPr>
          <t>HKS Consult:</t>
        </r>
        <r>
          <rPr>
            <sz val="9"/>
            <color indexed="81"/>
            <rFont val="Tahoma"/>
            <family val="2"/>
          </rPr>
          <t xml:space="preserve">
Variance = Std^2</t>
        </r>
      </text>
    </comment>
    <comment ref="T10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HKS Consult:</t>
        </r>
        <r>
          <rPr>
            <sz val="9"/>
            <color indexed="81"/>
            <rFont val="Tahoma"/>
            <family val="2"/>
          </rPr>
          <t xml:space="preserve">
To make RANK work an small 1E-6 factor to No. Is added. This make Rank work, even if there is more than 1 with value 0(zero)</t>
        </r>
      </text>
    </comment>
    <comment ref="I23" authorId="0" shapeId="0" xr:uid="{25C39D2C-46E9-4A28-8C89-8E289266AA64}">
      <text>
        <r>
          <rPr>
            <b/>
            <sz val="9"/>
            <color indexed="81"/>
            <rFont val="Tahoma"/>
            <family val="2"/>
          </rPr>
          <t>Henrik K Søndergaard:</t>
        </r>
        <r>
          <rPr>
            <sz val="9"/>
            <color indexed="81"/>
            <rFont val="Tahoma"/>
            <family val="2"/>
          </rPr>
          <t xml:space="preserve">
The Transformation Factor</t>
        </r>
      </text>
    </comment>
    <comment ref="K48" authorId="3" shapeId="0" xr:uid="{00000000-0006-0000-0100-000006000000}">
      <text>
        <r>
          <rPr>
            <b/>
            <sz val="9"/>
            <color indexed="81"/>
            <rFont val="Tahoma"/>
            <family val="2"/>
          </rPr>
          <t>HKS-Consult:</t>
        </r>
        <r>
          <rPr>
            <sz val="9"/>
            <color indexed="81"/>
            <rFont val="Tahoma"/>
            <family val="2"/>
          </rPr>
          <t xml:space="preserve">
Note special approach for Numbers * Costs</t>
        </r>
      </text>
    </comment>
    <comment ref="J59" authorId="0" shapeId="0" xr:uid="{67B7E383-0AC8-46C4-9D14-9F3E4CB60D04}">
      <text>
        <r>
          <rPr>
            <b/>
            <sz val="9"/>
            <color indexed="81"/>
            <rFont val="Tahoma"/>
            <family val="2"/>
          </rPr>
          <t>Henrik K Søndergaard:</t>
        </r>
        <r>
          <rPr>
            <sz val="9"/>
            <color indexed="81"/>
            <rFont val="Tahoma"/>
            <family val="2"/>
          </rPr>
          <t xml:space="preserve">
Include =0, as a Post can contribute even in the Mean=0</t>
        </r>
      </text>
    </comment>
    <comment ref="J63" authorId="0" shapeId="0" xr:uid="{AA2C2C7D-62E8-4AB3-9A64-AE7C6A1852E3}">
      <text>
        <r>
          <rPr>
            <b/>
            <sz val="9"/>
            <color indexed="81"/>
            <rFont val="Tahoma"/>
            <family val="2"/>
          </rPr>
          <t>Henrik K Søndergaard:</t>
        </r>
        <r>
          <rPr>
            <sz val="9"/>
            <color indexed="81"/>
            <rFont val="Tahoma"/>
            <family val="2"/>
          </rPr>
          <t xml:space="preserve">
Include =0, as a Post can contribute even in the Mean=0</t>
        </r>
      </text>
    </comment>
    <comment ref="D83" authorId="0" shapeId="0" xr:uid="{86174904-65BF-40B9-87AB-693C1EEED178}">
      <text>
        <r>
          <rPr>
            <b/>
            <sz val="9"/>
            <color indexed="81"/>
            <rFont val="Tahoma"/>
            <family val="2"/>
          </rPr>
          <t>Henrik K Søndergaard:</t>
        </r>
        <r>
          <rPr>
            <sz val="9"/>
            <color indexed="81"/>
            <rFont val="Tahoma"/>
            <family val="2"/>
          </rPr>
          <t xml:space="preserve">
For Tasks and Generel Uncertainties seperated.</t>
        </r>
      </text>
    </comment>
    <comment ref="F83" authorId="0" shapeId="0" xr:uid="{A0D63128-FB0C-495B-B412-8C26BC2E7970}">
      <text>
        <r>
          <rPr>
            <b/>
            <sz val="9"/>
            <color indexed="81"/>
            <rFont val="Tahoma"/>
            <family val="2"/>
          </rPr>
          <t>Henrik K Søndergaard:</t>
        </r>
        <r>
          <rPr>
            <sz val="9"/>
            <color indexed="81"/>
            <rFont val="Tahoma"/>
            <family val="2"/>
          </rPr>
          <t xml:space="preserve">
Total budget per Task for a chosen P(xx).</t>
        </r>
      </text>
    </comment>
    <comment ref="T83" authorId="1" shapeId="0" xr:uid="{00000000-0006-0000-0100-000007000000}">
      <text>
        <r>
          <rPr>
            <b/>
            <sz val="9"/>
            <color indexed="81"/>
            <rFont val="Tahoma"/>
            <family val="2"/>
          </rPr>
          <t>HKS Consult:</t>
        </r>
        <r>
          <rPr>
            <sz val="9"/>
            <color indexed="81"/>
            <rFont val="Tahoma"/>
            <family val="2"/>
          </rPr>
          <t xml:space="preserve">
To make RANK work an small 1E-6 factor to No. Is added. This make Rank work, even if there is more than 1 with value 0(zero)</t>
        </r>
      </text>
    </comment>
  </commentList>
</comments>
</file>

<file path=xl/sharedStrings.xml><?xml version="1.0" encoding="utf-8"?>
<sst xmlns="http://schemas.openxmlformats.org/spreadsheetml/2006/main" count="295" uniqueCount="211">
  <si>
    <t>Min</t>
  </si>
  <si>
    <t>Max</t>
  </si>
  <si>
    <t>S(0)</t>
  </si>
  <si>
    <t>P %</t>
  </si>
  <si>
    <t>M.L.: Most Likely</t>
  </si>
  <si>
    <t>Check</t>
  </si>
  <si>
    <t>S-min</t>
  </si>
  <si>
    <t>dS</t>
  </si>
  <si>
    <t>"GrandTotal_StDev"</t>
  </si>
  <si>
    <t>"+NORMFORDELING(x;middelværdi;standardafv,kumulativ)</t>
  </si>
  <si>
    <t>X2</t>
  </si>
  <si>
    <t>Y2</t>
  </si>
  <si>
    <t>X3</t>
  </si>
  <si>
    <t>Y3</t>
  </si>
  <si>
    <t>Procentuel afvigelse</t>
  </si>
  <si>
    <t>X-Serie1</t>
  </si>
  <si>
    <t>Y-Serie1</t>
  </si>
  <si>
    <t>P: Priority = the variance</t>
  </si>
  <si>
    <t>C.I.: Confidence Interval</t>
  </si>
  <si>
    <t>Notes.</t>
  </si>
  <si>
    <t>Notes: (Choosing No. Std. = 2.5)</t>
  </si>
  <si>
    <t>That is: With 1% probability the tasks can be finished with less than 'Min' and with 98,8% probability they will not exceed 'Max'.</t>
  </si>
  <si>
    <t>One can choose a robust budget figure, by using Mean + 1* Standard deviation, which leads to approx. 82% probability. See diagram sheet.</t>
  </si>
  <si>
    <t>Search probability</t>
  </si>
  <si>
    <t>X5</t>
  </si>
  <si>
    <t>Y5</t>
  </si>
  <si>
    <t>For no of standard deviation according to robust budget</t>
  </si>
  <si>
    <t>Confidence interval</t>
  </si>
  <si>
    <t>Seak Nul point</t>
  </si>
  <si>
    <t>*Stdev</t>
  </si>
  <si>
    <t>Abbreviations:</t>
  </si>
  <si>
    <t>P %: The Percentage P contributes to the total uncertainty</t>
  </si>
  <si>
    <t>www.lichtenberg.org</t>
  </si>
  <si>
    <t>DeltaId:</t>
  </si>
  <si>
    <t>Sorting out the Top Ten contributions to Uncertainty</t>
  </si>
  <si>
    <t>No.</t>
  </si>
  <si>
    <t>Value</t>
  </si>
  <si>
    <t>Rank</t>
  </si>
  <si>
    <t>Type</t>
  </si>
  <si>
    <t>Text</t>
  </si>
  <si>
    <t>Found</t>
  </si>
  <si>
    <t>Var</t>
  </si>
  <si>
    <t>Budget</t>
  </si>
  <si>
    <t>Local No.</t>
  </si>
  <si>
    <t>Original</t>
  </si>
  <si>
    <t>no*Delta</t>
  </si>
  <si>
    <t>Total</t>
  </si>
  <si>
    <t>Ref.</t>
  </si>
  <si>
    <t>A</t>
  </si>
  <si>
    <t>B</t>
  </si>
  <si>
    <t>C</t>
  </si>
  <si>
    <t>S(%)</t>
  </si>
  <si>
    <t>https://www.youtube.com/watch?v=lVvQOdPr97E</t>
  </si>
  <si>
    <t>ETC</t>
  </si>
  <si>
    <t>ETC %</t>
  </si>
  <si>
    <t>Grænser</t>
  </si>
  <si>
    <t>Kode</t>
  </si>
  <si>
    <t>xx,x%</t>
  </si>
  <si>
    <t>SumInput</t>
  </si>
  <si>
    <t>Diagram text box</t>
  </si>
  <si>
    <t>Project name:</t>
  </si>
  <si>
    <t>SUCCESSIV PRINCIPPET: ROBUSTE BUDGETTER &amp; PLANER - Der holder</t>
  </si>
  <si>
    <t>Relative værdier</t>
  </si>
  <si>
    <t>Tænk på et tidligere projekt. Hvor mange Unknown Unknowns dukkede op?</t>
  </si>
  <si>
    <t>Tænk på et tidligere projekt. Hvor lang tid tog de i gennemsnit?</t>
  </si>
  <si>
    <t>Middel</t>
  </si>
  <si>
    <t>Noter.</t>
  </si>
  <si>
    <t>Opgaver</t>
  </si>
  <si>
    <t>Antaget BUDGET:</t>
  </si>
  <si>
    <t>OPGAVE BUDGET</t>
  </si>
  <si>
    <t>Hvad kan influere på varighed/omkostning/tid?</t>
  </si>
  <si>
    <t>X6</t>
  </si>
  <si>
    <t>Y6</t>
  </si>
  <si>
    <t>X7</t>
  </si>
  <si>
    <t>Y7</t>
  </si>
  <si>
    <t>M.S.</t>
  </si>
  <si>
    <t>Hoved resultatet:</t>
  </si>
  <si>
    <t>SUCCESSIV PRINCIPPET: ROBUSTE BUDGETTER &amp; PLANER - Der holder!</t>
  </si>
  <si>
    <t>Ekstra budget plot i S-kurven:</t>
  </si>
  <si>
    <t>P(50)</t>
  </si>
  <si>
    <t>HOVED-RESULTATERNE</t>
  </si>
  <si>
    <t>Sum af Opgaverne</t>
  </si>
  <si>
    <t>Diagram text box:</t>
  </si>
  <si>
    <t>Min, M.S. og Max værdierne inkluderer TF.</t>
  </si>
  <si>
    <r>
      <rPr>
        <b/>
        <sz val="12"/>
        <rFont val="Garamond"/>
        <family val="1"/>
      </rPr>
      <t>Middel:</t>
    </r>
    <r>
      <rPr>
        <sz val="12"/>
        <rFont val="Garamond"/>
        <family val="1"/>
      </rPr>
      <t xml:space="preserve"> Ofte projektgruppens mål.</t>
    </r>
  </si>
  <si>
    <r>
      <rPr>
        <b/>
        <sz val="12"/>
        <rFont val="Garamond"/>
        <family val="1"/>
      </rPr>
      <t>Budget:</t>
    </r>
    <r>
      <rPr>
        <sz val="12"/>
        <rFont val="Garamond"/>
        <family val="1"/>
      </rPr>
      <t xml:space="preserve"> Det allokerede budget, for frontloading af resourcerne/timer osv.</t>
    </r>
  </si>
  <si>
    <t>Budgettet er vurderet som:</t>
  </si>
  <si>
    <t>Budget faktor</t>
  </si>
  <si>
    <t>Middel - 2,5*S</t>
  </si>
  <si>
    <t>Middel + 2,5*S</t>
  </si>
  <si>
    <t>af Middel</t>
  </si>
  <si>
    <t>Tornado Diagram Data</t>
  </si>
  <si>
    <t>% estimated Min/ML/Max</t>
  </si>
  <si>
    <t>% Share</t>
  </si>
  <si>
    <t>Un-sorted</t>
  </si>
  <si>
    <t>FINDING VALUES</t>
  </si>
  <si>
    <t>Sorted</t>
  </si>
  <si>
    <t>Hide</t>
  </si>
  <si>
    <t>(P85-P50)/P50</t>
  </si>
  <si>
    <t>Usikkerhed=</t>
  </si>
  <si>
    <t>Enhed opgaver:</t>
  </si>
  <si>
    <t>Analysis Group</t>
  </si>
  <si>
    <t>HandP125</t>
  </si>
  <si>
    <t>1:100</t>
  </si>
  <si>
    <t>Indeks</t>
  </si>
  <si>
    <t>Faktor A</t>
  </si>
  <si>
    <t>Divisor A</t>
  </si>
  <si>
    <t>Divisor B</t>
  </si>
  <si>
    <t>Std</t>
  </si>
  <si>
    <t>Costs:</t>
  </si>
  <si>
    <t>Income:</t>
  </si>
  <si>
    <t>Co/In</t>
  </si>
  <si>
    <t>dTF+</t>
  </si>
  <si>
    <t>dTF-</t>
  </si>
  <si>
    <t>Incl.</t>
  </si>
  <si>
    <t>Positive side</t>
  </si>
  <si>
    <t>Negative side</t>
  </si>
  <si>
    <t>Spare</t>
  </si>
  <si>
    <t>Bruge</t>
  </si>
  <si>
    <t>Usikkerheden i analysen U(P(xx))=</t>
  </si>
  <si>
    <t>Skævhed</t>
  </si>
  <si>
    <t>Mangler</t>
  </si>
  <si>
    <t>Generelle Usikkerheder</t>
  </si>
  <si>
    <t>Opg.</t>
  </si>
  <si>
    <t>G.U.</t>
  </si>
  <si>
    <t>Include GU:</t>
  </si>
  <si>
    <t>Samlet middelværdi uden GU</t>
  </si>
  <si>
    <t>Z</t>
  </si>
  <si>
    <t>P(GU'ere):</t>
  </si>
  <si>
    <t>For PlotData</t>
  </si>
  <si>
    <t>Analyse kvaliteten</t>
  </si>
  <si>
    <t>Kvaliteten af tilgængelige data, sammensætning af analysegruppen, antal deltagere, facilitatorens erfaringer og kompetencer m.v.</t>
  </si>
  <si>
    <t>0: Vise GU særskilt eller 1: Inkluder dem i posterne</t>
  </si>
  <si>
    <t>Under</t>
  </si>
  <si>
    <t>Over</t>
  </si>
  <si>
    <t>GU</t>
  </si>
  <si>
    <t>QA Test: 2023-09-04</t>
  </si>
  <si>
    <t xml:space="preserve">Projekt-usikkerhed= </t>
  </si>
  <si>
    <t>Alle elementer</t>
  </si>
  <si>
    <t>Alle elementer * B.Faktor</t>
  </si>
  <si>
    <t>Budget inkl. GU.</t>
  </si>
  <si>
    <t>Don't hide</t>
  </si>
  <si>
    <t>COMPILOT.dk</t>
  </si>
  <si>
    <t>Forfatter: COMPILOT.dk</t>
  </si>
  <si>
    <t>KONTAKT COMPILOT.dk for gratis assistance.</t>
  </si>
  <si>
    <t>Kriticality</t>
  </si>
  <si>
    <t>Værdi per Unknown Unknowns</t>
  </si>
  <si>
    <t>Indtast værdier og tekst i de grønne felter.</t>
  </si>
  <si>
    <t>Tidlig kvalitetssikring af usikkerheder: Risici og muligheder</t>
  </si>
  <si>
    <t>USIKKERHEDSANALYSE:</t>
  </si>
  <si>
    <t>Kontraktstrategi</t>
  </si>
  <si>
    <t>Grænseflader</t>
  </si>
  <si>
    <t>Kompet. &amp; Erfa. niveau</t>
  </si>
  <si>
    <t>Bygherrens org.</t>
  </si>
  <si>
    <t>Projekt Org.</t>
  </si>
  <si>
    <t>Eksterne forhold</t>
  </si>
  <si>
    <t>Byggepris-indeks</t>
  </si>
  <si>
    <t>D</t>
  </si>
  <si>
    <t>E</t>
  </si>
  <si>
    <t>F</t>
  </si>
  <si>
    <t>G</t>
  </si>
  <si>
    <t>H</t>
  </si>
  <si>
    <t>I</t>
  </si>
  <si>
    <t>J</t>
  </si>
  <si>
    <t>K</t>
  </si>
  <si>
    <t>Krav- og kvalitets-styring</t>
  </si>
  <si>
    <t>Politisk indf.</t>
  </si>
  <si>
    <t>Geografisk-indeks</t>
  </si>
  <si>
    <t>Nedbrydning</t>
  </si>
  <si>
    <t>Byggeplads</t>
  </si>
  <si>
    <t>Råhus</t>
  </si>
  <si>
    <t>Lukning</t>
  </si>
  <si>
    <t>Aptering</t>
  </si>
  <si>
    <t>Installationer</t>
  </si>
  <si>
    <t>Projektering</t>
  </si>
  <si>
    <t>Rådgivning</t>
  </si>
  <si>
    <t>Byggeledelse</t>
  </si>
  <si>
    <t>Tilsyn</t>
  </si>
  <si>
    <t>Andet</t>
  </si>
  <si>
    <t>Grundkøb</t>
  </si>
  <si>
    <t>Geoteknisk undersøg.</t>
  </si>
  <si>
    <t>Interne veje</t>
  </si>
  <si>
    <t>Terrænregulering</t>
  </si>
  <si>
    <t>Perimetersikring</t>
  </si>
  <si>
    <t>Byggetilladelse</t>
  </si>
  <si>
    <t>Forsikringer</t>
  </si>
  <si>
    <t>Finansiering</t>
  </si>
  <si>
    <t>Landskab</t>
  </si>
  <si>
    <t>Valg af entrepriseform m.v.</t>
  </si>
  <si>
    <t>Juridiske, forretningsmæssige og fysiske</t>
  </si>
  <si>
    <t>For alle involverede partnere.</t>
  </si>
  <si>
    <t>Antal folk og modenhed.</t>
  </si>
  <si>
    <t>Konjunktur.</t>
  </si>
  <si>
    <t>I hele projektet.</t>
  </si>
  <si>
    <t>Hvor der skal bygges.</t>
  </si>
  <si>
    <t>Beslutningstagerne, tilhængere og modstandere. Politisk dagsorden.</t>
  </si>
  <si>
    <t>Medierne</t>
  </si>
  <si>
    <t>TV, FB, LinkedIn, X, radio</t>
  </si>
  <si>
    <t>Alt andet.</t>
  </si>
  <si>
    <t>Mill.</t>
  </si>
  <si>
    <t>Indretningen er ikke på plads.</t>
  </si>
  <si>
    <t>Der skal designes med nye principper.</t>
  </si>
  <si>
    <t>En % sats af alle omkostningerne (middel).</t>
  </si>
  <si>
    <t>En % sats af entrepriserne (middel).</t>
  </si>
  <si>
    <t>(Røde tal er besparelser)</t>
  </si>
  <si>
    <t>Det uforudseelige - Unknown Unknowns</t>
  </si>
  <si>
    <t>Antal UF'ere (Unk Unks)</t>
  </si>
  <si>
    <t>UF'ere (Unk Unks)</t>
  </si>
  <si>
    <t>Byggeprojekt - Idé oplæg.</t>
  </si>
  <si>
    <t>Dette er en simpel model, som viser principperne i metoden.</t>
  </si>
  <si>
    <t>Rev. 2024-11-19a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</si>
</sst>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0.0"/>
    <numFmt numFmtId="166" formatCode="0.000"/>
    <numFmt numFmtId="167" formatCode="0.0000"/>
    <numFmt numFmtId="168" formatCode="0.000000"/>
    <numFmt numFmtId="169" formatCode="0.0%"/>
    <numFmt numFmtId="170" formatCode="0.000%"/>
    <numFmt numFmtId="171" formatCode="0.0000%"/>
    <numFmt numFmtId="172" formatCode="#,##0.0_ ;[Red]\-#,##0.0\ "/>
    <numFmt numFmtId="173" formatCode="#,##0_ ;[Red]\-#,##0\ "/>
  </numFmts>
  <fonts count="8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Garamond"/>
      <family val="1"/>
    </font>
    <font>
      <b/>
      <sz val="12"/>
      <name val="Garamond"/>
      <family val="1"/>
    </font>
    <font>
      <b/>
      <sz val="18"/>
      <name val="Arial"/>
      <family val="2"/>
    </font>
    <font>
      <b/>
      <sz val="12"/>
      <color indexed="17"/>
      <name val="Garamond"/>
      <family val="1"/>
    </font>
    <font>
      <b/>
      <sz val="12"/>
      <color indexed="10"/>
      <name val="Garamond"/>
      <family val="1"/>
    </font>
    <font>
      <b/>
      <sz val="12"/>
      <color indexed="12"/>
      <name val="Garamond"/>
      <family val="1"/>
    </font>
    <font>
      <b/>
      <sz val="12"/>
      <color indexed="20"/>
      <name val="Garamond"/>
      <family val="1"/>
    </font>
    <font>
      <sz val="12"/>
      <name val="Arial"/>
      <family val="2"/>
    </font>
    <font>
      <sz val="16"/>
      <name val="Arial"/>
      <family val="2"/>
    </font>
    <font>
      <sz val="10"/>
      <name val="Garamond"/>
      <family val="1"/>
    </font>
    <font>
      <b/>
      <sz val="12"/>
      <name val="Arial"/>
      <family val="2"/>
    </font>
    <font>
      <sz val="16"/>
      <name val="Arial"/>
      <family val="2"/>
    </font>
    <font>
      <b/>
      <sz val="14"/>
      <name val="Garamond"/>
      <family val="1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26"/>
      <name val="Arial"/>
      <family val="2"/>
    </font>
    <font>
      <b/>
      <sz val="9"/>
      <name val="Arial"/>
      <family val="2"/>
    </font>
    <font>
      <b/>
      <sz val="13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3"/>
      <name val="Garamond"/>
      <family val="1"/>
    </font>
    <font>
      <sz val="10"/>
      <color theme="0" tint="-0.24994659260841701"/>
      <name val="Arial"/>
      <family val="2"/>
    </font>
    <font>
      <b/>
      <sz val="10"/>
      <color theme="0" tint="-0.24994659260841701"/>
      <name val="Arial"/>
      <family val="2"/>
    </font>
    <font>
      <u/>
      <sz val="12"/>
      <color indexed="12"/>
      <name val="Arial"/>
      <family val="2"/>
    </font>
    <font>
      <b/>
      <sz val="10"/>
      <color rgb="FFFF0000"/>
      <name val="Arial"/>
      <family val="2"/>
    </font>
    <font>
      <sz val="15"/>
      <color rgb="FF000000"/>
      <name val="Calibri"/>
      <family val="2"/>
    </font>
    <font>
      <sz val="15"/>
      <color rgb="FF000000"/>
      <name val="+mn-ea"/>
    </font>
    <font>
      <sz val="9"/>
      <color theme="1"/>
      <name val="Garamond"/>
      <family val="1"/>
    </font>
    <font>
      <b/>
      <sz val="9"/>
      <color theme="1"/>
      <name val="Garamond"/>
      <family val="1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b/>
      <sz val="11"/>
      <name val="Arial"/>
      <family val="2"/>
    </font>
    <font>
      <b/>
      <sz val="12"/>
      <color theme="1"/>
      <name val="Arial"/>
      <family val="2"/>
    </font>
    <font>
      <sz val="11"/>
      <name val="Garamond"/>
      <family val="1"/>
    </font>
    <font>
      <b/>
      <sz val="12"/>
      <color theme="0"/>
      <name val="Garamond"/>
      <family val="1"/>
    </font>
    <font>
      <b/>
      <sz val="12"/>
      <color rgb="FF339966"/>
      <name val="Garamond"/>
      <family val="1"/>
    </font>
    <font>
      <sz val="12"/>
      <color rgb="FFFF0000"/>
      <name val="Garamond"/>
      <family val="1"/>
    </font>
    <font>
      <i/>
      <sz val="10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Garamond"/>
      <family val="1"/>
    </font>
    <font>
      <b/>
      <sz val="11"/>
      <color indexed="12"/>
      <name val="Garamond"/>
      <family val="1"/>
    </font>
    <font>
      <i/>
      <sz val="16"/>
      <name val="Arial"/>
      <family val="2"/>
    </font>
    <font>
      <sz val="12"/>
      <color theme="1"/>
      <name val="Arial"/>
      <family val="2"/>
    </font>
    <font>
      <b/>
      <sz val="11"/>
      <color rgb="FFC00000"/>
      <name val="Arial"/>
      <family val="2"/>
    </font>
    <font>
      <b/>
      <sz val="11"/>
      <color rgb="FF006600"/>
      <name val="Arial"/>
      <family val="2"/>
    </font>
    <font>
      <b/>
      <sz val="11"/>
      <color rgb="FF0000FF"/>
      <name val="Arial"/>
      <family val="2"/>
    </font>
    <font>
      <b/>
      <sz val="12"/>
      <color theme="0"/>
      <name val="Arial"/>
      <family val="2"/>
    </font>
    <font>
      <sz val="11"/>
      <color theme="1"/>
      <name val="Garamond"/>
      <family val="1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10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2"/>
      <color rgb="FF004C79"/>
      <name val="Garamond"/>
      <family val="1"/>
    </font>
    <font>
      <b/>
      <sz val="12"/>
      <color rgb="FFCC5F50"/>
      <name val="Garamond"/>
      <family val="1"/>
    </font>
    <font>
      <b/>
      <sz val="11"/>
      <color theme="1"/>
      <name val="Calibri"/>
      <family val="2"/>
      <scheme val="minor"/>
    </font>
    <font>
      <b/>
      <sz val="12"/>
      <color rgb="FFFF0000"/>
      <name val="Garamond"/>
      <family val="1"/>
    </font>
    <font>
      <b/>
      <sz val="9"/>
      <color theme="1"/>
      <name val="Calibri"/>
      <family val="2"/>
      <scheme val="minor"/>
    </font>
    <font>
      <b/>
      <sz val="9"/>
      <color rgb="FF0000FF"/>
      <name val="Garamond"/>
      <family val="1"/>
    </font>
    <font>
      <sz val="10"/>
      <color rgb="FFFF0000"/>
      <name val="Arial"/>
      <family val="2"/>
    </font>
    <font>
      <b/>
      <sz val="12"/>
      <color rgb="FF249074"/>
      <name val="Garamond"/>
      <family val="1"/>
    </font>
    <font>
      <sz val="12"/>
      <color theme="0" tint="-0.14999847407452621"/>
      <name val="Garamond"/>
      <family val="1"/>
    </font>
    <font>
      <sz val="10"/>
      <color theme="0" tint="-0.249977111117893"/>
      <name val="Arial"/>
      <family val="2"/>
    </font>
    <font>
      <b/>
      <sz val="10"/>
      <name val="Garamond"/>
      <family val="1"/>
    </font>
    <font>
      <sz val="10"/>
      <color theme="1"/>
      <name val="Arial"/>
      <family val="2"/>
    </font>
    <font>
      <sz val="12"/>
      <color theme="0" tint="-0.499984740745262"/>
      <name val="Garamond"/>
      <family val="1"/>
    </font>
    <font>
      <b/>
      <sz val="8"/>
      <name val="Arial"/>
      <family val="2"/>
    </font>
    <font>
      <b/>
      <sz val="12"/>
      <color theme="0" tint="-0.34998626667073579"/>
      <name val="Garamond"/>
      <family val="1"/>
    </font>
    <font>
      <sz val="12"/>
      <color theme="0" tint="-0.34998626667073579"/>
      <name val="Garamond"/>
      <family val="1"/>
    </font>
    <font>
      <sz val="9"/>
      <color theme="0" tint="-0.34998626667073579"/>
      <name val="Calibri"/>
      <family val="2"/>
      <scheme val="minor"/>
    </font>
    <font>
      <sz val="10"/>
      <color theme="0" tint="-0.34998626667073579"/>
      <name val="Arial"/>
      <family val="2"/>
    </font>
    <font>
      <sz val="14"/>
      <name val="Arial"/>
      <family val="2"/>
    </font>
    <font>
      <sz val="8"/>
      <color rgb="FFFF0000"/>
      <name val="Arial"/>
      <family val="2"/>
    </font>
    <font>
      <sz val="12"/>
      <color rgb="FF0000FF"/>
      <name val="Garamond"/>
      <family val="1"/>
    </font>
  </fonts>
  <fills count="2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70AD4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C5F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E2C5"/>
        <bgColor indexed="64"/>
      </patternFill>
    </fill>
    <fill>
      <patternFill patternType="solid">
        <fgColor rgb="FF66FF9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/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</cellStyleXfs>
  <cellXfs count="373">
    <xf numFmtId="0" fontId="0" fillId="0" borderId="0" xfId="0"/>
    <xf numFmtId="0" fontId="9" fillId="0" borderId="0" xfId="0" applyFont="1"/>
    <xf numFmtId="0" fontId="11" fillId="0" borderId="0" xfId="0" applyFont="1"/>
    <xf numFmtId="0" fontId="16" fillId="0" borderId="0" xfId="0" applyFont="1"/>
    <xf numFmtId="0" fontId="17" fillId="0" borderId="0" xfId="0" applyFont="1"/>
    <xf numFmtId="164" fontId="10" fillId="0" borderId="0" xfId="0" applyNumberFormat="1" applyFont="1"/>
    <xf numFmtId="0" fontId="20" fillId="0" borderId="0" xfId="0" applyFont="1"/>
    <xf numFmtId="0" fontId="8" fillId="0" borderId="0" xfId="1" applyAlignment="1" applyProtection="1"/>
    <xf numFmtId="0" fontId="0" fillId="0" borderId="0" xfId="0" applyAlignment="1">
      <alignment horizontal="right"/>
    </xf>
    <xf numFmtId="0" fontId="9" fillId="0" borderId="0" xfId="0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10" fillId="2" borderId="3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2" fillId="0" borderId="0" xfId="0" applyFont="1"/>
    <xf numFmtId="0" fontId="10" fillId="2" borderId="1" xfId="0" applyFont="1" applyFill="1" applyBorder="1"/>
    <xf numFmtId="0" fontId="0" fillId="0" borderId="0" xfId="0" applyAlignment="1">
      <alignment wrapTex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wrapText="1"/>
    </xf>
    <xf numFmtId="1" fontId="23" fillId="0" borderId="0" xfId="0" applyNumberFormat="1" applyFont="1"/>
    <xf numFmtId="1" fontId="0" fillId="0" borderId="0" xfId="0" applyNumberFormat="1"/>
    <xf numFmtId="0" fontId="0" fillId="0" borderId="0" xfId="0" applyAlignment="1">
      <alignment vertical="top" wrapText="1"/>
    </xf>
    <xf numFmtId="0" fontId="24" fillId="0" borderId="0" xfId="0" applyFont="1"/>
    <xf numFmtId="0" fontId="10" fillId="0" borderId="5" xfId="0" applyFont="1" applyBorder="1"/>
    <xf numFmtId="0" fontId="25" fillId="0" borderId="0" xfId="0" applyFont="1"/>
    <xf numFmtId="0" fontId="27" fillId="0" borderId="0" xfId="0" applyFont="1" applyAlignment="1" applyProtection="1">
      <alignment horizontal="left" vertical="center"/>
      <protection hidden="1"/>
    </xf>
    <xf numFmtId="0" fontId="11" fillId="5" borderId="0" xfId="0" applyFont="1" applyFill="1"/>
    <xf numFmtId="0" fontId="0" fillId="5" borderId="0" xfId="0" applyFill="1"/>
    <xf numFmtId="0" fontId="18" fillId="0" borderId="0" xfId="0" applyFont="1"/>
    <xf numFmtId="0" fontId="31" fillId="0" borderId="0" xfId="0" applyFont="1"/>
    <xf numFmtId="0" fontId="32" fillId="0" borderId="0" xfId="0" applyFont="1" applyAlignment="1">
      <alignment horizontal="right"/>
    </xf>
    <xf numFmtId="0" fontId="0" fillId="7" borderId="0" xfId="0" applyFill="1"/>
    <xf numFmtId="1" fontId="0" fillId="7" borderId="0" xfId="0" applyNumberFormat="1" applyFill="1"/>
    <xf numFmtId="1" fontId="23" fillId="7" borderId="0" xfId="0" applyNumberFormat="1" applyFont="1" applyFill="1"/>
    <xf numFmtId="0" fontId="0" fillId="7" borderId="0" xfId="0" applyFill="1" applyAlignment="1">
      <alignment horizontal="right"/>
    </xf>
    <xf numFmtId="0" fontId="0" fillId="7" borderId="0" xfId="0" applyFill="1" applyAlignment="1">
      <alignment wrapText="1"/>
    </xf>
    <xf numFmtId="0" fontId="23" fillId="7" borderId="0" xfId="0" applyFont="1" applyFill="1"/>
    <xf numFmtId="164" fontId="9" fillId="4" borderId="3" xfId="0" applyNumberFormat="1" applyFont="1" applyFill="1" applyBorder="1" applyAlignment="1">
      <alignment horizontal="center" vertical="top"/>
    </xf>
    <xf numFmtId="0" fontId="6" fillId="0" borderId="0" xfId="0" applyFont="1" applyAlignment="1">
      <alignment wrapText="1"/>
    </xf>
    <xf numFmtId="0" fontId="6" fillId="0" borderId="0" xfId="0" applyFont="1"/>
    <xf numFmtId="164" fontId="0" fillId="0" borderId="0" xfId="0" applyNumberFormat="1"/>
    <xf numFmtId="165" fontId="0" fillId="0" borderId="0" xfId="0" applyNumberFormat="1"/>
    <xf numFmtId="0" fontId="23" fillId="0" borderId="0" xfId="0" applyFont="1"/>
    <xf numFmtId="0" fontId="9" fillId="4" borderId="3" xfId="0" applyFont="1" applyFill="1" applyBorder="1" applyAlignment="1">
      <alignment vertical="top" wrapText="1"/>
    </xf>
    <xf numFmtId="0" fontId="14" fillId="2" borderId="1" xfId="0" applyFont="1" applyFill="1" applyBorder="1" applyAlignment="1">
      <alignment horizontal="right"/>
    </xf>
    <xf numFmtId="0" fontId="17" fillId="0" borderId="8" xfId="0" applyFont="1" applyBorder="1"/>
    <xf numFmtId="0" fontId="9" fillId="0" borderId="8" xfId="0" applyFont="1" applyBorder="1"/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8" xfId="0" applyBorder="1" applyAlignment="1">
      <alignment wrapText="1"/>
    </xf>
    <xf numFmtId="1" fontId="23" fillId="0" borderId="8" xfId="0" applyNumberFormat="1" applyFont="1" applyBorder="1"/>
    <xf numFmtId="1" fontId="0" fillId="0" borderId="8" xfId="0" applyNumberFormat="1" applyBorder="1"/>
    <xf numFmtId="0" fontId="10" fillId="0" borderId="8" xfId="0" applyFont="1" applyBorder="1"/>
    <xf numFmtId="0" fontId="16" fillId="0" borderId="8" xfId="0" applyFont="1" applyBorder="1"/>
    <xf numFmtId="0" fontId="21" fillId="0" borderId="8" xfId="0" applyFont="1" applyBorder="1"/>
    <xf numFmtId="0" fontId="16" fillId="0" borderId="8" xfId="0" applyFont="1" applyBorder="1" applyAlignment="1">
      <alignment horizontal="right"/>
    </xf>
    <xf numFmtId="0" fontId="16" fillId="0" borderId="8" xfId="0" applyFont="1" applyBorder="1" applyAlignment="1">
      <alignment wrapText="1"/>
    </xf>
    <xf numFmtId="0" fontId="34" fillId="0" borderId="0" xfId="0" applyFont="1" applyAlignment="1">
      <alignment vertical="center"/>
    </xf>
    <xf numFmtId="0" fontId="22" fillId="0" borderId="8" xfId="0" applyFont="1" applyBorder="1" applyAlignment="1">
      <alignment vertical="center"/>
    </xf>
    <xf numFmtId="0" fontId="26" fillId="0" borderId="8" xfId="0" applyFont="1" applyBorder="1" applyAlignment="1">
      <alignment horizontal="right" vertical="center"/>
    </xf>
    <xf numFmtId="0" fontId="16" fillId="5" borderId="0" xfId="0" applyFont="1" applyFill="1"/>
    <xf numFmtId="0" fontId="10" fillId="2" borderId="11" xfId="0" applyFont="1" applyFill="1" applyBorder="1" applyAlignment="1">
      <alignment vertical="center"/>
    </xf>
    <xf numFmtId="164" fontId="37" fillId="8" borderId="12" xfId="2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0" fillId="0" borderId="3" xfId="0" applyFont="1" applyBorder="1" applyAlignment="1">
      <alignment vertical="top" wrapText="1"/>
    </xf>
    <xf numFmtId="0" fontId="0" fillId="6" borderId="3" xfId="0" applyFill="1" applyBorder="1" applyAlignment="1">
      <alignment vertical="top" wrapText="1"/>
    </xf>
    <xf numFmtId="164" fontId="37" fillId="8" borderId="3" xfId="2" applyNumberFormat="1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16" fillId="0" borderId="0" xfId="0" applyFont="1" applyAlignment="1">
      <alignment vertical="top"/>
    </xf>
    <xf numFmtId="164" fontId="39" fillId="0" borderId="3" xfId="2" applyNumberFormat="1" applyFont="1" applyBorder="1" applyAlignment="1">
      <alignment horizontal="center" vertical="top"/>
    </xf>
    <xf numFmtId="0" fontId="9" fillId="4" borderId="3" xfId="0" applyFont="1" applyFill="1" applyBorder="1" applyAlignment="1">
      <alignment vertical="top"/>
    </xf>
    <xf numFmtId="164" fontId="38" fillId="8" borderId="13" xfId="2" applyNumberFormat="1" applyFont="1" applyFill="1" applyBorder="1" applyAlignment="1">
      <alignment horizontal="right" vertical="center"/>
    </xf>
    <xf numFmtId="0" fontId="10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4" fontId="10" fillId="0" borderId="12" xfId="0" applyNumberFormat="1" applyFont="1" applyBorder="1" applyAlignment="1">
      <alignment vertical="center"/>
    </xf>
    <xf numFmtId="164" fontId="40" fillId="0" borderId="7" xfId="2" applyNumberFormat="1" applyFont="1" applyBorder="1" applyAlignment="1">
      <alignment horizontal="center" vertical="center"/>
    </xf>
    <xf numFmtId="0" fontId="41" fillId="7" borderId="0" xfId="0" applyFont="1" applyFill="1"/>
    <xf numFmtId="0" fontId="0" fillId="0" borderId="0" xfId="0" applyAlignment="1">
      <alignment horizontal="right" vertical="center"/>
    </xf>
    <xf numFmtId="1" fontId="30" fillId="13" borderId="0" xfId="0" quotePrefix="1" applyNumberFormat="1" applyFont="1" applyFill="1" applyAlignment="1">
      <alignment horizontal="left" vertical="center"/>
    </xf>
    <xf numFmtId="0" fontId="9" fillId="2" borderId="11" xfId="0" applyFont="1" applyFill="1" applyBorder="1" applyAlignment="1">
      <alignment vertical="top"/>
    </xf>
    <xf numFmtId="165" fontId="9" fillId="2" borderId="7" xfId="0" applyNumberFormat="1" applyFont="1" applyFill="1" applyBorder="1" applyAlignment="1">
      <alignment vertical="top"/>
    </xf>
    <xf numFmtId="0" fontId="33" fillId="0" borderId="0" xfId="1" applyFont="1" applyAlignment="1" applyProtection="1">
      <alignment horizontal="left"/>
    </xf>
    <xf numFmtId="0" fontId="12" fillId="2" borderId="6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169" fontId="9" fillId="0" borderId="3" xfId="0" applyNumberFormat="1" applyFont="1" applyBorder="1" applyAlignment="1">
      <alignment horizontal="right" vertical="top"/>
    </xf>
    <xf numFmtId="164" fontId="37" fillId="8" borderId="6" xfId="2" applyNumberFormat="1" applyFont="1" applyFill="1" applyBorder="1" applyAlignment="1">
      <alignment horizontal="center" vertical="top"/>
    </xf>
    <xf numFmtId="0" fontId="9" fillId="4" borderId="3" xfId="0" applyFont="1" applyFill="1" applyBorder="1" applyAlignment="1">
      <alignment horizontal="center" vertical="top"/>
    </xf>
    <xf numFmtId="0" fontId="10" fillId="2" borderId="11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center"/>
    </xf>
    <xf numFmtId="169" fontId="9" fillId="0" borderId="3" xfId="0" applyNumberFormat="1" applyFont="1" applyBorder="1" applyAlignment="1">
      <alignment horizontal="center" vertical="top"/>
    </xf>
    <xf numFmtId="0" fontId="10" fillId="3" borderId="3" xfId="0" applyFont="1" applyFill="1" applyBorder="1" applyAlignment="1">
      <alignment horizontal="center"/>
    </xf>
    <xf numFmtId="169" fontId="9" fillId="0" borderId="7" xfId="0" applyNumberFormat="1" applyFont="1" applyBorder="1" applyAlignment="1">
      <alignment horizontal="right" vertical="top"/>
    </xf>
    <xf numFmtId="1" fontId="0" fillId="10" borderId="15" xfId="0" applyNumberFormat="1" applyFill="1" applyBorder="1"/>
    <xf numFmtId="0" fontId="9" fillId="2" borderId="4" xfId="0" applyFont="1" applyFill="1" applyBorder="1" applyAlignment="1">
      <alignment vertical="center"/>
    </xf>
    <xf numFmtId="164" fontId="39" fillId="8" borderId="9" xfId="2" applyNumberFormat="1" applyFont="1" applyFill="1" applyBorder="1" applyAlignment="1">
      <alignment horizontal="center" vertical="top"/>
    </xf>
    <xf numFmtId="169" fontId="39" fillId="8" borderId="9" xfId="2" applyNumberFormat="1" applyFont="1" applyFill="1" applyBorder="1" applyAlignment="1">
      <alignment horizontal="center" vertical="top"/>
    </xf>
    <xf numFmtId="164" fontId="39" fillId="8" borderId="3" xfId="2" applyNumberFormat="1" applyFont="1" applyFill="1" applyBorder="1" applyAlignment="1">
      <alignment horizontal="center" vertical="top"/>
    </xf>
    <xf numFmtId="164" fontId="39" fillId="12" borderId="7" xfId="2" applyNumberFormat="1" applyFont="1" applyFill="1" applyBorder="1" applyAlignment="1">
      <alignment horizontal="center" vertical="top"/>
    </xf>
    <xf numFmtId="0" fontId="43" fillId="4" borderId="3" xfId="0" applyFont="1" applyFill="1" applyBorder="1" applyAlignment="1">
      <alignment vertical="top" wrapText="1"/>
    </xf>
    <xf numFmtId="164" fontId="39" fillId="8" borderId="7" xfId="2" applyNumberFormat="1" applyFont="1" applyFill="1" applyBorder="1" applyAlignment="1">
      <alignment horizontal="right" vertical="center"/>
    </xf>
    <xf numFmtId="169" fontId="9" fillId="15" borderId="3" xfId="0" applyNumberFormat="1" applyFont="1" applyFill="1" applyBorder="1" applyAlignment="1">
      <alignment horizontal="center" vertical="center"/>
    </xf>
    <xf numFmtId="169" fontId="44" fillId="16" borderId="3" xfId="0" applyNumberFormat="1" applyFont="1" applyFill="1" applyBorder="1" applyAlignment="1">
      <alignment horizontal="center" vertical="center"/>
    </xf>
    <xf numFmtId="169" fontId="40" fillId="17" borderId="3" xfId="0" applyNumberFormat="1" applyFont="1" applyFill="1" applyBorder="1" applyAlignment="1">
      <alignment horizontal="center" vertical="center"/>
    </xf>
    <xf numFmtId="169" fontId="39" fillId="18" borderId="3" xfId="0" applyNumberFormat="1" applyFont="1" applyFill="1" applyBorder="1" applyAlignment="1">
      <alignment horizontal="center" vertical="center"/>
    </xf>
    <xf numFmtId="0" fontId="9" fillId="15" borderId="0" xfId="0" applyFont="1" applyFill="1" applyAlignment="1">
      <alignment horizontal="center" vertical="center"/>
    </xf>
    <xf numFmtId="169" fontId="9" fillId="0" borderId="0" xfId="0" applyNumberFormat="1" applyFont="1" applyAlignment="1">
      <alignment vertical="center"/>
    </xf>
    <xf numFmtId="0" fontId="10" fillId="0" borderId="0" xfId="0" applyFont="1" applyAlignment="1">
      <alignment horizontal="right"/>
    </xf>
    <xf numFmtId="169" fontId="9" fillId="0" borderId="0" xfId="0" applyNumberFormat="1" applyFont="1"/>
    <xf numFmtId="0" fontId="9" fillId="0" borderId="0" xfId="0" applyFont="1" applyAlignment="1">
      <alignment vertical="center"/>
    </xf>
    <xf numFmtId="1" fontId="10" fillId="0" borderId="0" xfId="0" applyNumberFormat="1" applyFont="1" applyAlignment="1">
      <alignment horizontal="center"/>
    </xf>
    <xf numFmtId="1" fontId="10" fillId="0" borderId="0" xfId="0" applyNumberFormat="1" applyFont="1"/>
    <xf numFmtId="0" fontId="10" fillId="0" borderId="0" xfId="0" applyFont="1" applyAlignment="1">
      <alignment vertical="center"/>
    </xf>
    <xf numFmtId="169" fontId="45" fillId="0" borderId="0" xfId="0" applyNumberFormat="1" applyFont="1" applyAlignment="1">
      <alignment horizontal="center" vertical="center"/>
    </xf>
    <xf numFmtId="169" fontId="46" fillId="0" borderId="0" xfId="0" applyNumberFormat="1" applyFont="1" applyAlignment="1">
      <alignment horizontal="center" vertical="center"/>
    </xf>
    <xf numFmtId="164" fontId="10" fillId="6" borderId="0" xfId="0" applyNumberFormat="1" applyFont="1" applyFill="1" applyAlignment="1">
      <alignment vertical="center"/>
    </xf>
    <xf numFmtId="1" fontId="9" fillId="0" borderId="0" xfId="0" applyNumberFormat="1" applyFont="1"/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9" fontId="10" fillId="0" borderId="0" xfId="0" applyNumberFormat="1" applyFont="1"/>
    <xf numFmtId="9" fontId="9" fillId="0" borderId="0" xfId="0" applyNumberFormat="1" applyFont="1"/>
    <xf numFmtId="0" fontId="10" fillId="0" borderId="0" xfId="0" applyFont="1" applyAlignment="1">
      <alignment horizontal="left"/>
    </xf>
    <xf numFmtId="169" fontId="9" fillId="0" borderId="7" xfId="0" applyNumberFormat="1" applyFont="1" applyBorder="1" applyAlignment="1">
      <alignment horizontal="right" vertical="center"/>
    </xf>
    <xf numFmtId="0" fontId="47" fillId="0" borderId="0" xfId="0" applyFont="1"/>
    <xf numFmtId="1" fontId="48" fillId="0" borderId="0" xfId="0" applyNumberFormat="1" applyFont="1"/>
    <xf numFmtId="1" fontId="47" fillId="0" borderId="0" xfId="0" applyNumberFormat="1" applyFont="1"/>
    <xf numFmtId="0" fontId="47" fillId="0" borderId="0" xfId="0" applyFont="1" applyAlignment="1">
      <alignment horizontal="right"/>
    </xf>
    <xf numFmtId="0" fontId="47" fillId="0" borderId="0" xfId="0" applyFont="1" applyAlignment="1">
      <alignment wrapText="1"/>
    </xf>
    <xf numFmtId="0" fontId="47" fillId="0" borderId="0" xfId="0" applyFont="1" applyAlignment="1">
      <alignment horizontal="center"/>
    </xf>
    <xf numFmtId="0" fontId="43" fillId="0" borderId="3" xfId="0" applyFont="1" applyBorder="1" applyAlignment="1">
      <alignment vertical="center" wrapText="1"/>
    </xf>
    <xf numFmtId="0" fontId="49" fillId="0" borderId="0" xfId="0" applyFont="1" applyAlignment="1">
      <alignment vertical="top" wrapText="1"/>
    </xf>
    <xf numFmtId="0" fontId="49" fillId="0" borderId="0" xfId="0" applyFont="1"/>
    <xf numFmtId="0" fontId="49" fillId="0" borderId="0" xfId="0" applyFont="1" applyAlignment="1">
      <alignment horizontal="center"/>
    </xf>
    <xf numFmtId="0" fontId="10" fillId="5" borderId="7" xfId="0" applyFont="1" applyFill="1" applyBorder="1" applyAlignment="1">
      <alignment vertical="top"/>
    </xf>
    <xf numFmtId="0" fontId="50" fillId="0" borderId="0" xfId="0" applyFont="1"/>
    <xf numFmtId="0" fontId="50" fillId="0" borderId="0" xfId="0" applyFont="1" applyAlignment="1">
      <alignment horizontal="right"/>
    </xf>
    <xf numFmtId="0" fontId="51" fillId="0" borderId="0" xfId="0" applyFont="1" applyAlignment="1">
      <alignment horizontal="right"/>
    </xf>
    <xf numFmtId="2" fontId="50" fillId="0" borderId="0" xfId="0" applyNumberFormat="1" applyFont="1" applyAlignment="1">
      <alignment horizontal="right"/>
    </xf>
    <xf numFmtId="4" fontId="50" fillId="0" borderId="0" xfId="0" applyNumberFormat="1" applyFont="1" applyAlignment="1">
      <alignment horizontal="right"/>
    </xf>
    <xf numFmtId="168" fontId="50" fillId="0" borderId="0" xfId="0" applyNumberFormat="1" applyFont="1" applyAlignment="1">
      <alignment horizontal="center"/>
    </xf>
    <xf numFmtId="0" fontId="51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50" fillId="0" borderId="0" xfId="0" applyFont="1" applyAlignment="1">
      <alignment horizontal="left"/>
    </xf>
    <xf numFmtId="168" fontId="51" fillId="0" borderId="0" xfId="0" applyNumberFormat="1" applyFont="1" applyAlignment="1">
      <alignment horizontal="center"/>
    </xf>
    <xf numFmtId="167" fontId="50" fillId="0" borderId="0" xfId="0" applyNumberFormat="1" applyFont="1"/>
    <xf numFmtId="0" fontId="10" fillId="5" borderId="9" xfId="0" applyFont="1" applyFill="1" applyBorder="1" applyAlignment="1">
      <alignment vertical="top" wrapText="1"/>
    </xf>
    <xf numFmtId="164" fontId="52" fillId="8" borderId="12" xfId="2" applyNumberFormat="1" applyFont="1" applyFill="1" applyBorder="1" applyAlignment="1">
      <alignment horizontal="center" vertical="center"/>
    </xf>
    <xf numFmtId="164" fontId="52" fillId="8" borderId="13" xfId="2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right"/>
    </xf>
    <xf numFmtId="0" fontId="53" fillId="2" borderId="3" xfId="0" applyFont="1" applyFill="1" applyBorder="1" applyAlignment="1">
      <alignment horizontal="right"/>
    </xf>
    <xf numFmtId="4" fontId="50" fillId="0" borderId="0" xfId="0" applyNumberFormat="1" applyFont="1"/>
    <xf numFmtId="10" fontId="50" fillId="0" borderId="0" xfId="0" applyNumberFormat="1" applyFont="1"/>
    <xf numFmtId="164" fontId="9" fillId="5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165" fontId="10" fillId="0" borderId="7" xfId="0" applyNumberFormat="1" applyFont="1" applyBorder="1" applyAlignment="1">
      <alignment vertical="top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2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0" fillId="2" borderId="3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right" vertical="center"/>
    </xf>
    <xf numFmtId="164" fontId="42" fillId="11" borderId="7" xfId="2" applyNumberFormat="1" applyFont="1" applyFill="1" applyBorder="1" applyAlignment="1">
      <alignment horizontal="center" vertical="center"/>
    </xf>
    <xf numFmtId="164" fontId="42" fillId="0" borderId="7" xfId="2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9" fillId="0" borderId="18" xfId="0" applyFont="1" applyBorder="1" applyAlignment="1">
      <alignment vertical="center"/>
    </xf>
    <xf numFmtId="0" fontId="19" fillId="0" borderId="19" xfId="0" applyFont="1" applyBorder="1" applyAlignment="1">
      <alignment vertical="center"/>
    </xf>
    <xf numFmtId="0" fontId="54" fillId="0" borderId="0" xfId="0" applyFont="1"/>
    <xf numFmtId="9" fontId="0" fillId="0" borderId="0" xfId="0" applyNumberFormat="1"/>
    <xf numFmtId="0" fontId="19" fillId="0" borderId="0" xfId="0" applyFont="1"/>
    <xf numFmtId="9" fontId="55" fillId="0" borderId="0" xfId="0" applyNumberFormat="1" applyFont="1" applyAlignment="1">
      <alignment horizontal="center"/>
    </xf>
    <xf numFmtId="0" fontId="10" fillId="0" borderId="0" xfId="0" applyFont="1"/>
    <xf numFmtId="0" fontId="19" fillId="7" borderId="0" xfId="0" applyFont="1" applyFill="1"/>
    <xf numFmtId="170" fontId="50" fillId="0" borderId="0" xfId="0" applyNumberFormat="1" applyFont="1"/>
    <xf numFmtId="3" fontId="50" fillId="0" borderId="0" xfId="0" applyNumberFormat="1" applyFont="1" applyAlignment="1">
      <alignment horizontal="center"/>
    </xf>
    <xf numFmtId="167" fontId="50" fillId="0" borderId="0" xfId="0" applyNumberFormat="1" applyFont="1" applyAlignment="1">
      <alignment horizontal="right"/>
    </xf>
    <xf numFmtId="166" fontId="50" fillId="0" borderId="0" xfId="0" applyNumberFormat="1" applyFont="1"/>
    <xf numFmtId="4" fontId="50" fillId="9" borderId="0" xfId="0" applyNumberFormat="1" applyFont="1" applyFill="1" applyAlignment="1">
      <alignment horizontal="right"/>
    </xf>
    <xf numFmtId="9" fontId="50" fillId="0" borderId="0" xfId="0" applyNumberFormat="1" applyFont="1"/>
    <xf numFmtId="10" fontId="50" fillId="9" borderId="0" xfId="0" applyNumberFormat="1" applyFont="1" applyFill="1"/>
    <xf numFmtId="164" fontId="39" fillId="8" borderId="6" xfId="2" applyNumberFormat="1" applyFont="1" applyFill="1" applyBorder="1" applyAlignment="1">
      <alignment horizontal="center" vertical="top"/>
    </xf>
    <xf numFmtId="169" fontId="39" fillId="8" borderId="6" xfId="2" applyNumberFormat="1" applyFont="1" applyFill="1" applyBorder="1" applyAlignment="1">
      <alignment horizontal="center" vertical="top"/>
    </xf>
    <xf numFmtId="0" fontId="0" fillId="14" borderId="16" xfId="0" applyFill="1" applyBorder="1"/>
    <xf numFmtId="164" fontId="39" fillId="0" borderId="17" xfId="2" applyNumberFormat="1" applyFont="1" applyBorder="1" applyAlignment="1">
      <alignment horizontal="center" vertical="top"/>
    </xf>
    <xf numFmtId="164" fontId="9" fillId="0" borderId="0" xfId="0" applyNumberFormat="1" applyFont="1" applyAlignment="1">
      <alignment horizontal="left"/>
    </xf>
    <xf numFmtId="0" fontId="43" fillId="12" borderId="3" xfId="0" applyFont="1" applyFill="1" applyBorder="1" applyAlignment="1">
      <alignment vertical="top" wrapText="1"/>
    </xf>
    <xf numFmtId="0" fontId="0" fillId="7" borderId="0" xfId="0" applyFill="1" applyAlignment="1">
      <alignment horizontal="center"/>
    </xf>
    <xf numFmtId="9" fontId="9" fillId="5" borderId="3" xfId="0" quotePrefix="1" applyNumberFormat="1" applyFont="1" applyFill="1" applyBorder="1" applyAlignment="1">
      <alignment horizontal="center" vertical="top"/>
    </xf>
    <xf numFmtId="9" fontId="9" fillId="5" borderId="6" xfId="0" quotePrefix="1" applyNumberFormat="1" applyFont="1" applyFill="1" applyBorder="1" applyAlignment="1">
      <alignment horizontal="center" vertical="top"/>
    </xf>
    <xf numFmtId="164" fontId="10" fillId="8" borderId="7" xfId="0" applyNumberFormat="1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center"/>
    </xf>
    <xf numFmtId="9" fontId="9" fillId="5" borderId="17" xfId="0" quotePrefix="1" applyNumberFormat="1" applyFont="1" applyFill="1" applyBorder="1" applyAlignment="1">
      <alignment horizontal="center" vertical="top"/>
    </xf>
    <xf numFmtId="165" fontId="9" fillId="2" borderId="13" xfId="0" applyNumberFormat="1" applyFont="1" applyFill="1" applyBorder="1" applyAlignment="1">
      <alignment horizontal="center" vertical="top"/>
    </xf>
    <xf numFmtId="1" fontId="0" fillId="7" borderId="0" xfId="0" applyNumberFormat="1" applyFill="1" applyAlignment="1">
      <alignment horizontal="center"/>
    </xf>
    <xf numFmtId="0" fontId="49" fillId="0" borderId="0" xfId="0" applyFont="1" applyAlignment="1">
      <alignment horizontal="right" wrapText="1"/>
    </xf>
    <xf numFmtId="0" fontId="41" fillId="0" borderId="0" xfId="0" applyFont="1"/>
    <xf numFmtId="11" fontId="49" fillId="0" borderId="0" xfId="0" applyNumberFormat="1" applyFont="1"/>
    <xf numFmtId="0" fontId="23" fillId="0" borderId="0" xfId="0" applyFont="1" applyAlignment="1">
      <alignment horizontal="right" vertical="top"/>
    </xf>
    <xf numFmtId="0" fontId="49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49" fillId="0" borderId="0" xfId="0" applyFont="1" applyAlignment="1">
      <alignment horizontal="center" vertical="top"/>
    </xf>
    <xf numFmtId="165" fontId="49" fillId="0" borderId="0" xfId="0" applyNumberFormat="1" applyFont="1" applyAlignment="1">
      <alignment vertical="top"/>
    </xf>
    <xf numFmtId="10" fontId="49" fillId="0" borderId="0" xfId="0" applyNumberFormat="1" applyFont="1" applyAlignment="1">
      <alignment vertical="top"/>
    </xf>
    <xf numFmtId="169" fontId="49" fillId="0" borderId="0" xfId="0" applyNumberFormat="1" applyFont="1" applyAlignment="1">
      <alignment vertical="top"/>
    </xf>
    <xf numFmtId="165" fontId="49" fillId="0" borderId="0" xfId="0" applyNumberFormat="1" applyFont="1" applyAlignment="1">
      <alignment horizontal="center" vertical="top"/>
    </xf>
    <xf numFmtId="169" fontId="49" fillId="0" borderId="0" xfId="0" applyNumberFormat="1" applyFont="1" applyAlignment="1">
      <alignment horizontal="left" vertical="top"/>
    </xf>
    <xf numFmtId="10" fontId="41" fillId="0" borderId="0" xfId="0" applyNumberFormat="1" applyFont="1" applyAlignment="1">
      <alignment vertical="top"/>
    </xf>
    <xf numFmtId="165" fontId="41" fillId="0" borderId="0" xfId="0" applyNumberFormat="1" applyFont="1" applyAlignment="1">
      <alignment vertical="top"/>
    </xf>
    <xf numFmtId="165" fontId="7" fillId="0" borderId="0" xfId="0" applyNumberFormat="1" applyFont="1" applyAlignment="1">
      <alignment vertical="top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vertical="center"/>
    </xf>
    <xf numFmtId="165" fontId="49" fillId="0" borderId="0" xfId="0" applyNumberFormat="1" applyFont="1" applyAlignment="1">
      <alignment vertical="center"/>
    </xf>
    <xf numFmtId="10" fontId="5" fillId="0" borderId="0" xfId="0" applyNumberFormat="1" applyFont="1" applyAlignment="1">
      <alignment vertical="top"/>
    </xf>
    <xf numFmtId="165" fontId="6" fillId="0" borderId="0" xfId="0" applyNumberFormat="1" applyFont="1" applyAlignment="1">
      <alignment vertical="top"/>
    </xf>
    <xf numFmtId="0" fontId="49" fillId="0" borderId="0" xfId="0" quotePrefix="1" applyFont="1" applyAlignment="1">
      <alignment horizontal="right"/>
    </xf>
    <xf numFmtId="0" fontId="49" fillId="0" borderId="0" xfId="0" applyFont="1" applyAlignment="1">
      <alignment horizontal="right"/>
    </xf>
    <xf numFmtId="0" fontId="41" fillId="0" borderId="0" xfId="0" applyFont="1" applyAlignment="1">
      <alignment horizontal="center" vertical="top"/>
    </xf>
    <xf numFmtId="4" fontId="41" fillId="0" borderId="0" xfId="0" applyNumberFormat="1" applyFont="1" applyAlignment="1">
      <alignment horizontal="right" vertical="top"/>
    </xf>
    <xf numFmtId="0" fontId="41" fillId="0" borderId="0" xfId="0" applyFont="1" applyAlignment="1">
      <alignment horizontal="right" vertical="top"/>
    </xf>
    <xf numFmtId="168" fontId="49" fillId="0" borderId="0" xfId="0" applyNumberFormat="1" applyFont="1" applyAlignment="1">
      <alignment vertical="top"/>
    </xf>
    <xf numFmtId="165" fontId="23" fillId="0" borderId="0" xfId="0" applyNumberFormat="1" applyFont="1" applyAlignment="1">
      <alignment vertical="top"/>
    </xf>
    <xf numFmtId="0" fontId="5" fillId="0" borderId="0" xfId="0" applyFont="1" applyAlignment="1">
      <alignment horizontal="center"/>
    </xf>
    <xf numFmtId="165" fontId="41" fillId="0" borderId="0" xfId="0" applyNumberFormat="1" applyFont="1" applyAlignment="1">
      <alignment horizontal="center" vertical="top"/>
    </xf>
    <xf numFmtId="165" fontId="56" fillId="0" borderId="0" xfId="0" applyNumberFormat="1" applyFont="1" applyAlignment="1">
      <alignment horizontal="center" vertical="top"/>
    </xf>
    <xf numFmtId="165" fontId="57" fillId="0" borderId="0" xfId="0" applyNumberFormat="1" applyFont="1" applyAlignment="1">
      <alignment horizontal="center" vertical="top"/>
    </xf>
    <xf numFmtId="165" fontId="58" fillId="0" borderId="0" xfId="0" applyNumberFormat="1" applyFont="1" applyAlignment="1">
      <alignment horizontal="center" vertical="top"/>
    </xf>
    <xf numFmtId="169" fontId="41" fillId="0" borderId="0" xfId="0" applyNumberFormat="1" applyFont="1" applyAlignment="1">
      <alignment horizontal="right" vertical="center"/>
    </xf>
    <xf numFmtId="0" fontId="0" fillId="19" borderId="0" xfId="0" applyFill="1"/>
    <xf numFmtId="0" fontId="59" fillId="19" borderId="0" xfId="0" applyFont="1" applyFill="1" applyAlignment="1">
      <alignment vertical="center"/>
    </xf>
    <xf numFmtId="171" fontId="49" fillId="0" borderId="0" xfId="0" applyNumberFormat="1" applyFont="1" applyAlignment="1">
      <alignment vertical="top"/>
    </xf>
    <xf numFmtId="171" fontId="49" fillId="0" borderId="0" xfId="0" applyNumberFormat="1" applyFont="1" applyAlignment="1">
      <alignment vertical="center"/>
    </xf>
    <xf numFmtId="171" fontId="49" fillId="0" borderId="0" xfId="0" applyNumberFormat="1" applyFont="1"/>
    <xf numFmtId="0" fontId="49" fillId="17" borderId="0" xfId="0" applyFont="1" applyFill="1" applyAlignment="1">
      <alignment horizontal="center" wrapText="1"/>
    </xf>
    <xf numFmtId="2" fontId="9" fillId="0" borderId="0" xfId="0" applyNumberFormat="1" applyFont="1" applyAlignment="1">
      <alignment horizontal="center" vertical="center"/>
    </xf>
    <xf numFmtId="9" fontId="9" fillId="0" borderId="3" xfId="0" applyNumberFormat="1" applyFont="1" applyBorder="1" applyAlignment="1">
      <alignment horizontal="center" vertical="top"/>
    </xf>
    <xf numFmtId="10" fontId="51" fillId="0" borderId="0" xfId="0" applyNumberFormat="1" applyFont="1" applyAlignment="1">
      <alignment horizontal="center"/>
    </xf>
    <xf numFmtId="10" fontId="51" fillId="9" borderId="0" xfId="0" applyNumberFormat="1" applyFont="1" applyFill="1" applyAlignment="1">
      <alignment horizontal="center"/>
    </xf>
    <xf numFmtId="164" fontId="50" fillId="9" borderId="0" xfId="0" applyNumberFormat="1" applyFont="1" applyFill="1" applyAlignment="1">
      <alignment horizontal="right"/>
    </xf>
    <xf numFmtId="169" fontId="50" fillId="20" borderId="0" xfId="0" applyNumberFormat="1" applyFont="1" applyFill="1"/>
    <xf numFmtId="3" fontId="9" fillId="4" borderId="3" xfId="0" applyNumberFormat="1" applyFont="1" applyFill="1" applyBorder="1" applyAlignment="1">
      <alignment horizontal="center" vertical="top"/>
    </xf>
    <xf numFmtId="0" fontId="14" fillId="2" borderId="3" xfId="0" applyFont="1" applyFill="1" applyBorder="1" applyAlignment="1">
      <alignment horizontal="center"/>
    </xf>
    <xf numFmtId="4" fontId="9" fillId="4" borderId="3" xfId="0" applyNumberFormat="1" applyFont="1" applyFill="1" applyBorder="1" applyAlignment="1">
      <alignment horizontal="center" vertical="top"/>
    </xf>
    <xf numFmtId="169" fontId="49" fillId="0" borderId="0" xfId="0" applyNumberFormat="1" applyFont="1"/>
    <xf numFmtId="9" fontId="60" fillId="20" borderId="0" xfId="0" applyNumberFormat="1" applyFont="1" applyFill="1" applyAlignment="1">
      <alignment horizontal="center" vertical="center"/>
    </xf>
    <xf numFmtId="169" fontId="40" fillId="0" borderId="7" xfId="2" applyNumberFormat="1" applyFont="1" applyBorder="1" applyAlignment="1">
      <alignment horizontal="center" vertical="center"/>
    </xf>
    <xf numFmtId="172" fontId="9" fillId="4" borderId="3" xfId="0" applyNumberFormat="1" applyFont="1" applyFill="1" applyBorder="1" applyAlignment="1">
      <alignment horizontal="center" vertical="top"/>
    </xf>
    <xf numFmtId="9" fontId="61" fillId="0" borderId="3" xfId="0" applyNumberFormat="1" applyFont="1" applyBorder="1" applyAlignment="1">
      <alignment horizontal="center" vertical="center"/>
    </xf>
    <xf numFmtId="0" fontId="23" fillId="0" borderId="0" xfId="0" applyFont="1" applyAlignment="1">
      <alignment horizontal="right"/>
    </xf>
    <xf numFmtId="0" fontId="63" fillId="0" borderId="0" xfId="0" quotePrefix="1" applyFont="1" applyAlignment="1">
      <alignment horizontal="center"/>
    </xf>
    <xf numFmtId="0" fontId="63" fillId="0" borderId="0" xfId="0" applyFont="1"/>
    <xf numFmtId="0" fontId="63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65" fillId="21" borderId="0" xfId="0" applyFont="1" applyFill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5" fillId="0" borderId="0" xfId="0" applyFont="1" applyAlignment="1">
      <alignment horizontal="center"/>
    </xf>
    <xf numFmtId="0" fontId="6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6" fillId="6" borderId="3" xfId="0" applyFont="1" applyFill="1" applyBorder="1" applyAlignment="1">
      <alignment horizontal="center" vertical="center"/>
    </xf>
    <xf numFmtId="0" fontId="67" fillId="6" borderId="2" xfId="0" applyFont="1" applyFill="1" applyBorder="1" applyAlignment="1">
      <alignment horizontal="center" vertical="center"/>
    </xf>
    <xf numFmtId="0" fontId="68" fillId="0" borderId="0" xfId="3" applyFont="1" applyAlignment="1">
      <alignment horizontal="right"/>
    </xf>
    <xf numFmtId="0" fontId="4" fillId="5" borderId="0" xfId="3" applyFill="1" applyAlignment="1">
      <alignment horizontal="center"/>
    </xf>
    <xf numFmtId="0" fontId="4" fillId="0" borderId="0" xfId="3" applyAlignment="1">
      <alignment vertical="center"/>
    </xf>
    <xf numFmtId="172" fontId="59" fillId="24" borderId="17" xfId="2" applyNumberFormat="1" applyFont="1" applyFill="1" applyBorder="1" applyAlignment="1">
      <alignment horizontal="center" vertical="center"/>
    </xf>
    <xf numFmtId="164" fontId="59" fillId="23" borderId="17" xfId="2" applyNumberFormat="1" applyFont="1" applyFill="1" applyBorder="1" applyAlignment="1">
      <alignment horizontal="center" vertical="center"/>
    </xf>
    <xf numFmtId="164" fontId="59" fillId="24" borderId="17" xfId="2" applyNumberFormat="1" applyFont="1" applyFill="1" applyBorder="1" applyAlignment="1">
      <alignment horizontal="center" vertical="center"/>
    </xf>
    <xf numFmtId="164" fontId="59" fillId="25" borderId="17" xfId="2" applyNumberFormat="1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top"/>
    </xf>
    <xf numFmtId="172" fontId="0" fillId="0" borderId="3" xfId="0" applyNumberForma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top"/>
    </xf>
    <xf numFmtId="0" fontId="71" fillId="8" borderId="11" xfId="2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172" fontId="0" fillId="0" borderId="0" xfId="0" applyNumberFormat="1" applyAlignment="1">
      <alignment horizontal="center" vertical="center"/>
    </xf>
    <xf numFmtId="0" fontId="72" fillId="7" borderId="0" xfId="0" applyFont="1" applyFill="1"/>
    <xf numFmtId="172" fontId="61" fillId="0" borderId="3" xfId="0" applyNumberFormat="1" applyFont="1" applyBorder="1" applyAlignment="1">
      <alignment horizontal="center" vertical="center"/>
    </xf>
    <xf numFmtId="9" fontId="5" fillId="0" borderId="20" xfId="0" applyNumberFormat="1" applyFont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69" fillId="6" borderId="3" xfId="0" applyFont="1" applyFill="1" applyBorder="1" applyAlignment="1">
      <alignment horizontal="center" vertical="center"/>
    </xf>
    <xf numFmtId="0" fontId="10" fillId="22" borderId="5" xfId="0" applyFont="1" applyFill="1" applyBorder="1" applyAlignment="1">
      <alignment horizontal="center"/>
    </xf>
    <xf numFmtId="169" fontId="41" fillId="26" borderId="17" xfId="0" applyNumberFormat="1" applyFont="1" applyFill="1" applyBorder="1" applyAlignment="1">
      <alignment horizontal="center" vertical="center"/>
    </xf>
    <xf numFmtId="172" fontId="51" fillId="0" borderId="17" xfId="0" applyNumberFormat="1" applyFont="1" applyBorder="1" applyAlignment="1">
      <alignment horizontal="center" vertical="center"/>
    </xf>
    <xf numFmtId="173" fontId="61" fillId="0" borderId="17" xfId="0" applyNumberFormat="1" applyFont="1" applyBorder="1" applyAlignment="1">
      <alignment horizontal="center" vertical="center"/>
    </xf>
    <xf numFmtId="172" fontId="40" fillId="9" borderId="3" xfId="2" applyNumberFormat="1" applyFont="1" applyFill="1" applyBorder="1" applyAlignment="1">
      <alignment horizontal="center" vertical="center"/>
    </xf>
    <xf numFmtId="172" fontId="39" fillId="0" borderId="3" xfId="2" applyNumberFormat="1" applyFont="1" applyBorder="1" applyAlignment="1">
      <alignment horizontal="center" vertical="top"/>
    </xf>
    <xf numFmtId="9" fontId="61" fillId="0" borderId="6" xfId="0" applyNumberFormat="1" applyFont="1" applyBorder="1" applyAlignment="1">
      <alignment horizontal="center" vertical="center"/>
    </xf>
    <xf numFmtId="9" fontId="70" fillId="13" borderId="7" xfId="0" applyNumberFormat="1" applyFont="1" applyFill="1" applyBorder="1" applyAlignment="1">
      <alignment horizontal="center" vertical="center"/>
    </xf>
    <xf numFmtId="0" fontId="0" fillId="14" borderId="21" xfId="0" applyFill="1" applyBorder="1" applyAlignment="1">
      <alignment horizontal="center"/>
    </xf>
    <xf numFmtId="0" fontId="49" fillId="7" borderId="0" xfId="0" applyFont="1" applyFill="1" applyAlignment="1">
      <alignment horizontal="right" vertical="center"/>
    </xf>
    <xf numFmtId="9" fontId="10" fillId="9" borderId="0" xfId="0" applyNumberFormat="1" applyFont="1" applyFill="1" applyAlignment="1">
      <alignment horizontal="center"/>
    </xf>
    <xf numFmtId="164" fontId="10" fillId="9" borderId="13" xfId="0" applyNumberFormat="1" applyFont="1" applyFill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top"/>
    </xf>
    <xf numFmtId="9" fontId="10" fillId="9" borderId="7" xfId="0" applyNumberFormat="1" applyFont="1" applyFill="1" applyBorder="1" applyAlignment="1">
      <alignment horizontal="center" vertical="center"/>
    </xf>
    <xf numFmtId="169" fontId="63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9" fontId="0" fillId="0" borderId="0" xfId="0" applyNumberFormat="1" applyAlignment="1">
      <alignment horizontal="right"/>
    </xf>
    <xf numFmtId="0" fontId="3" fillId="5" borderId="3" xfId="3" applyFont="1" applyFill="1" applyBorder="1" applyAlignment="1">
      <alignment horizontal="left" vertical="center"/>
    </xf>
    <xf numFmtId="0" fontId="73" fillId="6" borderId="1" xfId="0" applyFont="1" applyFill="1" applyBorder="1" applyAlignment="1">
      <alignment horizontal="center" vertical="center"/>
    </xf>
    <xf numFmtId="164" fontId="18" fillId="0" borderId="14" xfId="0" applyNumberFormat="1" applyFont="1" applyBorder="1" applyAlignment="1">
      <alignment horizontal="right" vertical="center"/>
    </xf>
    <xf numFmtId="169" fontId="18" fillId="8" borderId="10" xfId="0" applyNumberFormat="1" applyFont="1" applyFill="1" applyBorder="1" applyAlignment="1">
      <alignment horizontal="right" vertical="center"/>
    </xf>
    <xf numFmtId="9" fontId="0" fillId="5" borderId="0" xfId="0" applyNumberFormat="1" applyFill="1" applyAlignment="1">
      <alignment horizontal="center"/>
    </xf>
    <xf numFmtId="1" fontId="41" fillId="0" borderId="0" xfId="0" applyNumberFormat="1" applyFont="1" applyAlignment="1">
      <alignment horizontal="right"/>
    </xf>
    <xf numFmtId="172" fontId="0" fillId="0" borderId="0" xfId="0" applyNumberFormat="1" applyAlignment="1">
      <alignment vertical="center"/>
    </xf>
    <xf numFmtId="9" fontId="9" fillId="0" borderId="7" xfId="0" applyNumberFormat="1" applyFont="1" applyBorder="1" applyAlignment="1">
      <alignment horizontal="center" vertical="center"/>
    </xf>
    <xf numFmtId="9" fontId="9" fillId="2" borderId="7" xfId="0" applyNumberFormat="1" applyFont="1" applyFill="1" applyBorder="1" applyAlignment="1">
      <alignment horizontal="center" vertical="center"/>
    </xf>
    <xf numFmtId="0" fontId="74" fillId="8" borderId="7" xfId="0" applyFont="1" applyFill="1" applyBorder="1" applyAlignment="1">
      <alignment horizontal="center" vertical="top"/>
    </xf>
    <xf numFmtId="0" fontId="74" fillId="8" borderId="3" xfId="0" applyFont="1" applyFill="1" applyBorder="1" applyAlignment="1">
      <alignment horizontal="center" vertical="top"/>
    </xf>
    <xf numFmtId="169" fontId="0" fillId="0" borderId="0" xfId="0" applyNumberFormat="1"/>
    <xf numFmtId="0" fontId="5" fillId="0" borderId="0" xfId="0" applyFont="1"/>
    <xf numFmtId="164" fontId="9" fillId="0" borderId="3" xfId="0" applyNumberFormat="1" applyFont="1" applyBorder="1" applyAlignment="1">
      <alignment vertical="top"/>
    </xf>
    <xf numFmtId="9" fontId="9" fillId="15" borderId="3" xfId="0" applyNumberFormat="1" applyFont="1" applyFill="1" applyBorder="1" applyAlignment="1">
      <alignment vertical="top"/>
    </xf>
    <xf numFmtId="0" fontId="10" fillId="0" borderId="7" xfId="0" applyFont="1" applyBorder="1" applyAlignment="1">
      <alignment horizontal="left" vertical="center"/>
    </xf>
    <xf numFmtId="164" fontId="10" fillId="0" borderId="7" xfId="0" applyNumberFormat="1" applyFont="1" applyBorder="1" applyAlignment="1">
      <alignment vertical="center"/>
    </xf>
    <xf numFmtId="1" fontId="75" fillId="0" borderId="0" xfId="0" applyNumberFormat="1" applyFont="1" applyAlignment="1">
      <alignment vertical="top"/>
    </xf>
    <xf numFmtId="0" fontId="49" fillId="12" borderId="0" xfId="0" applyFont="1" applyFill="1" applyAlignment="1">
      <alignment horizontal="center" vertical="top"/>
    </xf>
    <xf numFmtId="0" fontId="9" fillId="27" borderId="3" xfId="0" applyFont="1" applyFill="1" applyBorder="1" applyAlignment="1">
      <alignment horizontal="left" vertical="top"/>
    </xf>
    <xf numFmtId="0" fontId="9" fillId="21" borderId="3" xfId="0" applyFont="1" applyFill="1" applyBorder="1" applyAlignment="1">
      <alignment horizontal="left" vertical="top"/>
    </xf>
    <xf numFmtId="0" fontId="76" fillId="0" borderId="0" xfId="0" applyFont="1" applyAlignment="1">
      <alignment horizontal="left"/>
    </xf>
    <xf numFmtId="0" fontId="2" fillId="5" borderId="3" xfId="3" applyFont="1" applyFill="1" applyBorder="1" applyAlignment="1">
      <alignment horizontal="left" vertical="center"/>
    </xf>
    <xf numFmtId="0" fontId="1" fillId="0" borderId="0" xfId="3" applyFont="1"/>
    <xf numFmtId="0" fontId="0" fillId="5" borderId="0" xfId="0" applyFill="1" applyAlignment="1">
      <alignment horizontal="center"/>
    </xf>
    <xf numFmtId="0" fontId="9" fillId="5" borderId="3" xfId="0" applyFont="1" applyFill="1" applyBorder="1" applyAlignment="1">
      <alignment horizontal="center" vertical="top"/>
    </xf>
    <xf numFmtId="0" fontId="9" fillId="5" borderId="3" xfId="0" applyFont="1" applyFill="1" applyBorder="1" applyAlignment="1">
      <alignment vertical="top"/>
    </xf>
    <xf numFmtId="1" fontId="77" fillId="5" borderId="0" xfId="0" applyNumberFormat="1" applyFont="1" applyFill="1" applyAlignment="1">
      <alignment vertical="top"/>
    </xf>
    <xf numFmtId="0" fontId="62" fillId="5" borderId="0" xfId="0" applyFont="1" applyFill="1" applyAlignment="1">
      <alignment horizontal="center"/>
    </xf>
    <xf numFmtId="164" fontId="78" fillId="6" borderId="3" xfId="0" applyNumberFormat="1" applyFont="1" applyFill="1" applyBorder="1" applyAlignment="1">
      <alignment vertical="top"/>
    </xf>
    <xf numFmtId="0" fontId="53" fillId="9" borderId="3" xfId="0" applyFont="1" applyFill="1" applyBorder="1" applyAlignment="1">
      <alignment horizontal="right"/>
    </xf>
    <xf numFmtId="0" fontId="62" fillId="5" borderId="0" xfId="0" applyFont="1" applyFill="1" applyAlignment="1">
      <alignment horizontal="right" vertical="center" wrapText="1"/>
    </xf>
    <xf numFmtId="1" fontId="5" fillId="5" borderId="0" xfId="0" applyNumberFormat="1" applyFont="1" applyFill="1" applyAlignment="1">
      <alignment horizontal="center"/>
    </xf>
    <xf numFmtId="0" fontId="75" fillId="0" borderId="0" xfId="0" applyFont="1" applyAlignment="1">
      <alignment horizontal="left" vertical="top"/>
    </xf>
    <xf numFmtId="0" fontId="79" fillId="0" borderId="0" xfId="0" applyFont="1" applyAlignment="1">
      <alignment horizontal="right" vertical="top"/>
    </xf>
    <xf numFmtId="0" fontId="80" fillId="2" borderId="3" xfId="0" applyFont="1" applyFill="1" applyBorder="1" applyAlignment="1">
      <alignment horizontal="center" vertical="center"/>
    </xf>
    <xf numFmtId="9" fontId="81" fillId="0" borderId="3" xfId="0" applyNumberFormat="1" applyFont="1" applyBorder="1" applyAlignment="1">
      <alignment horizontal="center" vertical="top"/>
    </xf>
    <xf numFmtId="9" fontId="82" fillId="0" borderId="3" xfId="0" applyNumberFormat="1" applyFont="1" applyBorder="1" applyAlignment="1">
      <alignment horizontal="center" vertical="center"/>
    </xf>
    <xf numFmtId="0" fontId="83" fillId="0" borderId="0" xfId="0" applyFont="1" applyAlignment="1">
      <alignment horizontal="center"/>
    </xf>
    <xf numFmtId="9" fontId="82" fillId="6" borderId="3" xfId="0" applyNumberFormat="1" applyFont="1" applyFill="1" applyBorder="1" applyAlignment="1">
      <alignment horizontal="center" vertical="center"/>
    </xf>
    <xf numFmtId="0" fontId="84" fillId="0" borderId="0" xfId="0" applyFont="1"/>
    <xf numFmtId="0" fontId="8" fillId="0" borderId="0" xfId="1" applyAlignment="1" applyProtection="1">
      <alignment horizontal="right"/>
    </xf>
    <xf numFmtId="9" fontId="62" fillId="0" borderId="0" xfId="0" applyNumberFormat="1" applyFont="1" applyAlignment="1">
      <alignment vertical="center"/>
    </xf>
    <xf numFmtId="0" fontId="85" fillId="0" borderId="0" xfId="0" applyFont="1" applyAlignment="1">
      <alignment horizontal="center"/>
    </xf>
    <xf numFmtId="0" fontId="5" fillId="5" borderId="0" xfId="0" applyFont="1" applyFill="1"/>
    <xf numFmtId="0" fontId="86" fillId="4" borderId="3" xfId="0" applyFont="1" applyFill="1" applyBorder="1" applyAlignment="1">
      <alignment vertical="top" wrapText="1"/>
    </xf>
    <xf numFmtId="169" fontId="51" fillId="11" borderId="7" xfId="2" applyNumberFormat="1" applyFont="1" applyFill="1" applyBorder="1" applyAlignment="1">
      <alignment horizontal="center" vertical="center"/>
    </xf>
    <xf numFmtId="164" fontId="51" fillId="11" borderId="7" xfId="2" applyNumberFormat="1" applyFont="1" applyFill="1" applyBorder="1" applyAlignment="1">
      <alignment horizontal="center" vertical="center"/>
    </xf>
    <xf numFmtId="3" fontId="51" fillId="12" borderId="17" xfId="2" applyNumberFormat="1" applyFont="1" applyFill="1" applyBorder="1" applyAlignment="1">
      <alignment horizontal="center" vertical="center"/>
    </xf>
    <xf numFmtId="3" fontId="59" fillId="23" borderId="17" xfId="2" applyNumberFormat="1" applyFont="1" applyFill="1" applyBorder="1" applyAlignment="1">
      <alignment horizontal="center" vertical="center"/>
    </xf>
    <xf numFmtId="3" fontId="59" fillId="25" borderId="17" xfId="2" applyNumberFormat="1" applyFont="1" applyFill="1" applyBorder="1" applyAlignment="1">
      <alignment horizontal="center" vertical="center"/>
    </xf>
    <xf numFmtId="172" fontId="9" fillId="28" borderId="3" xfId="0" applyNumberFormat="1" applyFont="1" applyFill="1" applyBorder="1" applyAlignment="1">
      <alignment horizontal="center" vertical="top"/>
    </xf>
    <xf numFmtId="0" fontId="17" fillId="0" borderId="22" xfId="0" applyFont="1" applyBorder="1"/>
    <xf numFmtId="1" fontId="0" fillId="10" borderId="23" xfId="0" applyNumberFormat="1" applyFill="1" applyBorder="1"/>
    <xf numFmtId="0" fontId="0" fillId="0" borderId="22" xfId="0" applyBorder="1"/>
    <xf numFmtId="0" fontId="16" fillId="0" borderId="22" xfId="0" applyFont="1" applyBorder="1"/>
    <xf numFmtId="0" fontId="0" fillId="0" borderId="22" xfId="0" applyBorder="1" applyAlignment="1">
      <alignment horizontal="left"/>
    </xf>
    <xf numFmtId="0" fontId="9" fillId="0" borderId="8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35" fillId="0" borderId="8" xfId="0" applyFont="1" applyBorder="1" applyAlignment="1">
      <alignment horizontal="left" vertical="center"/>
    </xf>
    <xf numFmtId="0" fontId="36" fillId="0" borderId="8" xfId="0" applyFont="1" applyBorder="1"/>
    <xf numFmtId="0" fontId="9" fillId="7" borderId="0" xfId="0" applyFont="1" applyFill="1" applyAlignment="1">
      <alignment horizontal="left" vertical="center"/>
    </xf>
  </cellXfs>
  <cellStyles count="4">
    <cellStyle name="Hyperlink" xfId="1" builtinId="8"/>
    <cellStyle name="Normal" xfId="0" builtinId="0"/>
    <cellStyle name="Normal 2" xfId="3" xr:uid="{E96E03FB-DBBD-4CC4-92F8-A530A37FB5E0}"/>
    <cellStyle name="Normal_Estimater" xfId="2" xr:uid="{00000000-0005-0000-0000-000002000000}"/>
  </cellStyles>
  <dxfs count="93">
    <dxf>
      <numFmt numFmtId="4" formatCode="#,##0.00"/>
    </dxf>
    <dxf>
      <numFmt numFmtId="164" formatCode="#,##0.0"/>
    </dxf>
    <dxf>
      <numFmt numFmtId="3" formatCode="#,##0"/>
    </dxf>
    <dxf>
      <numFmt numFmtId="4" formatCode="#,##0.00"/>
    </dxf>
    <dxf>
      <numFmt numFmtId="164" formatCode="#,##0.0"/>
    </dxf>
    <dxf>
      <numFmt numFmtId="3" formatCode="#,##0"/>
    </dxf>
    <dxf>
      <numFmt numFmtId="3" formatCode="#,##0"/>
    </dxf>
    <dxf>
      <numFmt numFmtId="4" formatCode="#,##0.00"/>
    </dxf>
    <dxf>
      <numFmt numFmtId="164" formatCode="#,##0.0"/>
    </dxf>
    <dxf>
      <numFmt numFmtId="3" formatCode="#,##0"/>
    </dxf>
    <dxf>
      <numFmt numFmtId="164" formatCode="#,##0.0"/>
    </dxf>
    <dxf>
      <numFmt numFmtId="4" formatCode="#,##0.00"/>
    </dxf>
    <dxf>
      <font>
        <condense val="0"/>
        <extend val="0"/>
        <color indexed="9"/>
      </font>
      <fill>
        <patternFill>
          <bgColor indexed="53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theme="0" tint="-4.9989318521683403E-2"/>
        </patternFill>
      </fill>
    </dxf>
    <dxf>
      <fill>
        <patternFill>
          <bgColor indexed="47"/>
        </patternFill>
      </fill>
    </dxf>
    <dxf>
      <numFmt numFmtId="4" formatCode="#,##0.00"/>
    </dxf>
    <dxf>
      <numFmt numFmtId="164" formatCode="#,##0.0"/>
    </dxf>
    <dxf>
      <numFmt numFmtId="3" formatCode="#,##0"/>
    </dxf>
    <dxf>
      <numFmt numFmtId="3" formatCode="#,##0"/>
    </dxf>
    <dxf>
      <numFmt numFmtId="164" formatCode="#,##0.0"/>
    </dxf>
    <dxf>
      <numFmt numFmtId="4" formatCode="#,##0.00"/>
    </dxf>
    <dxf>
      <numFmt numFmtId="3" formatCode="#,##0"/>
    </dxf>
    <dxf>
      <numFmt numFmtId="164" formatCode="#,##0.0"/>
    </dxf>
    <dxf>
      <numFmt numFmtId="4" formatCode="#,##0.00"/>
    </dxf>
    <dxf>
      <numFmt numFmtId="3" formatCode="#,##0"/>
    </dxf>
    <dxf>
      <numFmt numFmtId="164" formatCode="#,##0.0"/>
    </dxf>
    <dxf>
      <numFmt numFmtId="4" formatCode="#,##0.00"/>
    </dxf>
    <dxf>
      <numFmt numFmtId="3" formatCode="#,##0"/>
    </dxf>
    <dxf>
      <numFmt numFmtId="164" formatCode="#,##0.0"/>
    </dxf>
    <dxf>
      <numFmt numFmtId="4" formatCode="#,##0.00"/>
    </dxf>
    <dxf>
      <numFmt numFmtId="3" formatCode="#,##0"/>
    </dxf>
    <dxf>
      <numFmt numFmtId="4" formatCode="#,##0.00"/>
    </dxf>
    <dxf>
      <numFmt numFmtId="164" formatCode="#,##0.0"/>
    </dxf>
    <dxf>
      <numFmt numFmtId="3" formatCode="#,##0"/>
    </dxf>
    <dxf>
      <numFmt numFmtId="4" formatCode="#,##0.00"/>
    </dxf>
    <dxf>
      <numFmt numFmtId="164" formatCode="#,##0.0"/>
    </dxf>
    <dxf>
      <numFmt numFmtId="3" formatCode="#,##0"/>
    </dxf>
    <dxf>
      <numFmt numFmtId="164" formatCode="#,##0.0"/>
    </dxf>
    <dxf>
      <numFmt numFmtId="4" formatCode="#,##0.00"/>
    </dxf>
    <dxf>
      <numFmt numFmtId="4" formatCode="#,##0.00"/>
    </dxf>
    <dxf>
      <numFmt numFmtId="164" formatCode="#,##0.0"/>
    </dxf>
    <dxf>
      <numFmt numFmtId="3" formatCode="#,##0"/>
    </dxf>
    <dxf>
      <numFmt numFmtId="3" formatCode="#,##0"/>
    </dxf>
    <dxf>
      <numFmt numFmtId="164" formatCode="#,##0.0"/>
    </dxf>
    <dxf>
      <numFmt numFmtId="4" formatCode="#,##0.00"/>
    </dxf>
    <dxf>
      <numFmt numFmtId="4" formatCode="#,##0.00"/>
    </dxf>
    <dxf>
      <numFmt numFmtId="3" formatCode="#,##0"/>
    </dxf>
    <dxf>
      <numFmt numFmtId="164" formatCode="#,##0.0"/>
    </dxf>
    <dxf>
      <numFmt numFmtId="4" formatCode="#,##0.00"/>
    </dxf>
    <dxf>
      <numFmt numFmtId="3" formatCode="#,##0"/>
    </dxf>
    <dxf>
      <numFmt numFmtId="164" formatCode="#,##0.0"/>
    </dxf>
    <dxf>
      <numFmt numFmtId="4" formatCode="#,##0.00"/>
    </dxf>
    <dxf>
      <numFmt numFmtId="164" formatCode="#,##0.0"/>
    </dxf>
    <dxf>
      <numFmt numFmtId="3" formatCode="#,##0"/>
    </dxf>
    <dxf>
      <numFmt numFmtId="3" formatCode="#,##0"/>
    </dxf>
    <dxf>
      <numFmt numFmtId="164" formatCode="#,##0.0"/>
    </dxf>
    <dxf>
      <numFmt numFmtId="4" formatCode="#,##0.00"/>
    </dxf>
    <dxf>
      <numFmt numFmtId="3" formatCode="#,##0"/>
    </dxf>
    <dxf>
      <numFmt numFmtId="164" formatCode="#,##0.0"/>
    </dxf>
    <dxf>
      <numFmt numFmtId="4" formatCode="#,##0.00"/>
    </dxf>
    <dxf>
      <numFmt numFmtId="4" formatCode="#,##0.00"/>
    </dxf>
    <dxf>
      <numFmt numFmtId="3" formatCode="#,##0"/>
    </dxf>
    <dxf>
      <numFmt numFmtId="164" formatCode="#,##0.0"/>
    </dxf>
    <dxf>
      <numFmt numFmtId="4" formatCode="#,##0.00"/>
    </dxf>
    <dxf>
      <numFmt numFmtId="3" formatCode="#,##0"/>
    </dxf>
    <dxf>
      <numFmt numFmtId="164" formatCode="#,##0.0"/>
    </dxf>
    <dxf>
      <numFmt numFmtId="3" formatCode="#,##0"/>
    </dxf>
    <dxf>
      <numFmt numFmtId="164" formatCode="#,##0.0"/>
    </dxf>
    <dxf>
      <numFmt numFmtId="4" formatCode="#,##0.00"/>
    </dxf>
    <dxf>
      <numFmt numFmtId="164" formatCode="#,##0.0"/>
    </dxf>
    <dxf>
      <numFmt numFmtId="4" formatCode="#,##0.00"/>
    </dxf>
    <dxf>
      <numFmt numFmtId="3" formatCode="#,##0"/>
    </dxf>
    <dxf>
      <numFmt numFmtId="164" formatCode="#,##0.0"/>
    </dxf>
    <dxf>
      <numFmt numFmtId="3" formatCode="#,##0"/>
    </dxf>
    <dxf>
      <numFmt numFmtId="4" formatCode="#,##0.00"/>
    </dxf>
    <dxf>
      <font>
        <b/>
        <i val="0"/>
        <color rgb="FF008000"/>
      </font>
    </dxf>
    <dxf>
      <font>
        <b/>
        <i val="0"/>
        <color rgb="FFFF0000"/>
      </font>
    </dxf>
    <dxf>
      <numFmt numFmtId="3" formatCode="#,##0"/>
    </dxf>
    <dxf>
      <numFmt numFmtId="164" formatCode="#,##0.0"/>
    </dxf>
    <dxf>
      <numFmt numFmtId="4" formatCode="#,##0.00"/>
    </dxf>
    <dxf>
      <numFmt numFmtId="3" formatCode="#,##0"/>
    </dxf>
    <dxf>
      <numFmt numFmtId="164" formatCode="#,##0.0"/>
    </dxf>
    <dxf>
      <numFmt numFmtId="4" formatCode="#,##0.00"/>
    </dxf>
    <dxf>
      <font>
        <condense val="0"/>
        <extend val="0"/>
        <color indexed="9"/>
      </font>
      <fill>
        <patternFill>
          <bgColor indexed="53"/>
        </patternFill>
      </fill>
    </dxf>
    <dxf>
      <numFmt numFmtId="164" formatCode="#,##0.0"/>
    </dxf>
    <dxf>
      <numFmt numFmtId="3" formatCode="#,##0"/>
    </dxf>
    <dxf>
      <numFmt numFmtId="4" formatCode="#,##0.00"/>
    </dxf>
    <dxf>
      <font>
        <condense val="0"/>
        <extend val="0"/>
        <color indexed="9"/>
      </font>
      <fill>
        <patternFill>
          <bgColor indexed="53"/>
        </patternFill>
      </fill>
    </dxf>
    <dxf>
      <numFmt numFmtId="4" formatCode="#,##0.00"/>
    </dxf>
    <dxf>
      <numFmt numFmtId="164" formatCode="#,##0.0"/>
    </dxf>
    <dxf>
      <numFmt numFmtId="3" formatCode="#,##0"/>
    </dxf>
    <dxf>
      <font>
        <condense val="0"/>
        <extend val="0"/>
        <color indexed="9"/>
      </font>
      <fill>
        <patternFill>
          <bgColor indexed="53"/>
        </patternFill>
      </fill>
    </dxf>
  </dxfs>
  <tableStyles count="0" defaultTableStyle="TableStyleMedium2" defaultPivotStyle="PivotStyleLight16"/>
  <colors>
    <mruColors>
      <color rgb="FF99FFCC"/>
      <color rgb="FF66FF99"/>
      <color rgb="FF0000FF"/>
      <color rgb="FFCC5F50"/>
      <color rgb="FF2AAA8A"/>
      <color rgb="FFCCFFCC"/>
      <color rgb="FF66FFFF"/>
      <color rgb="FFFFE2C5"/>
      <color rgb="FFFFCC99"/>
      <color rgb="FF249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styles" Target="styles.xml"/><Relationship Id="rId5" Type="http://schemas.openxmlformats.org/officeDocument/2006/relationships/chartsheet" Target="chartsheets/sheet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title>
      <c:tx>
        <c:strRef>
          <c:f>Data!$I$81</c:f>
          <c:strCache>
            <c:ptCount val="1"/>
            <c:pt idx="0">
              <c:v>Top 10: Alle elementer * B.Faktor and P(85)</c:v>
            </c:pt>
          </c:strCache>
        </c:strRef>
      </c:tx>
      <c:layout>
        <c:manualLayout>
          <c:xMode val="edge"/>
          <c:yMode val="edge"/>
          <c:x val="0.67273472497490017"/>
          <c:y val="0.20966112262586706"/>
        </c:manualLayout>
      </c:layout>
      <c:overlay val="0"/>
      <c:txPr>
        <a:bodyPr/>
        <a:lstStyle/>
        <a:p>
          <a:pPr>
            <a:defRPr sz="1400" baseline="0">
              <a:solidFill>
                <a:schemeClr val="tx1"/>
              </a:solidFill>
            </a:defRPr>
          </a:pPr>
          <a:endParaRPr lang="en-DK"/>
        </a:p>
      </c:txPr>
    </c:title>
    <c:autoTitleDeleted val="0"/>
    <c:plotArea>
      <c:layout>
        <c:manualLayout>
          <c:layoutTarget val="inner"/>
          <c:xMode val="edge"/>
          <c:yMode val="edge"/>
          <c:x val="0.12809356098897623"/>
          <c:y val="0.20136081172146159"/>
          <c:w val="0.44014036269075424"/>
          <c:h val="0.71889596211779228"/>
        </c:manualLayout>
      </c:layout>
      <c:pieChart>
        <c:varyColors val="1"/>
        <c:ser>
          <c:idx val="0"/>
          <c:order val="0"/>
          <c:explosion val="9"/>
          <c:dPt>
            <c:idx val="0"/>
            <c:bubble3D val="0"/>
            <c:explosion val="11"/>
            <c:extLst>
              <c:ext xmlns:c16="http://schemas.microsoft.com/office/drawing/2014/chart" uri="{C3380CC4-5D6E-409C-BE32-E72D297353CC}">
                <c16:uniqueId val="{00000001-226C-4893-8207-A9277098FD8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226C-4893-8207-A9277098FD8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3-226C-4893-8207-A9277098FD8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4-226C-4893-8207-A9277098FD84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5-226C-4893-8207-A9277098FD84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6-226C-4893-8207-A9277098FD84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solidFill>
                      <a:schemeClr val="tx1"/>
                    </a:solidFill>
                  </a:defRPr>
                </a:pPr>
                <a:endParaRPr lang="en-DK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Data!$BS$84:$BS$93</c:f>
              <c:strCache>
                <c:ptCount val="10"/>
                <c:pt idx="0">
                  <c:v>#1: Opg.7: Råhus</c:v>
                </c:pt>
                <c:pt idx="1">
                  <c:v>#2: Opg.5: Aptering</c:v>
                </c:pt>
                <c:pt idx="2">
                  <c:v>#3: Opg.12: Andet</c:v>
                </c:pt>
                <c:pt idx="3">
                  <c:v>#4: Opg.4: Installationer</c:v>
                </c:pt>
                <c:pt idx="4">
                  <c:v>#5: Opg.8: Byggeplads</c:v>
                </c:pt>
                <c:pt idx="5">
                  <c:v>#6: G.U.4: Krav- og kvalitets-styring</c:v>
                </c:pt>
                <c:pt idx="6">
                  <c:v>#7: Opg.4: Grundkøb</c:v>
                </c:pt>
                <c:pt idx="7">
                  <c:v>#8: G.U.2: Geografisk-indeks</c:v>
                </c:pt>
                <c:pt idx="8">
                  <c:v>#9: G.U.6: Eksterne forhold</c:v>
                </c:pt>
                <c:pt idx="9">
                  <c:v>#10: Opg.9: Nedbrydning</c:v>
                </c:pt>
              </c:strCache>
            </c:strRef>
          </c:cat>
          <c:val>
            <c:numRef>
              <c:f>Data!$BQ$84:$BQ$93</c:f>
              <c:numCache>
                <c:formatCode>0.0</c:formatCode>
                <c:ptCount val="10"/>
                <c:pt idx="0">
                  <c:v>118.17322187619428</c:v>
                </c:pt>
                <c:pt idx="1">
                  <c:v>55.147503542224001</c:v>
                </c:pt>
                <c:pt idx="2">
                  <c:v>51.771125774332731</c:v>
                </c:pt>
                <c:pt idx="3">
                  <c:v>45.018370238550204</c:v>
                </c:pt>
                <c:pt idx="4">
                  <c:v>37.140155446803917</c:v>
                </c:pt>
                <c:pt idx="5">
                  <c:v>21.383725863311348</c:v>
                </c:pt>
                <c:pt idx="6">
                  <c:v>20.25826660734759</c:v>
                </c:pt>
                <c:pt idx="7">
                  <c:v>19.132807351383835</c:v>
                </c:pt>
                <c:pt idx="8">
                  <c:v>18.007348095420081</c:v>
                </c:pt>
                <c:pt idx="9">
                  <c:v>15.756429583492571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26C-4893-8207-A9277098F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6641271077985742"/>
          <c:y val="0.27194926942126085"/>
          <c:w val="0.30976006000264272"/>
          <c:h val="0.54114362435987062"/>
        </c:manualLayout>
      </c:layout>
      <c:overlay val="0"/>
      <c:txPr>
        <a:bodyPr anchor="ctr" anchorCtr="0"/>
        <a:lstStyle/>
        <a:p>
          <a:pPr>
            <a:defRPr baseline="0">
              <a:solidFill>
                <a:schemeClr val="tx1"/>
              </a:solidFill>
            </a:defRPr>
          </a:pPr>
          <a:endParaRPr lang="en-DK"/>
        </a:p>
      </c:txPr>
    </c:legend>
    <c:plotVisOnly val="0"/>
    <c:dispBlanksAs val="zero"/>
    <c:showDLblsOverMax val="0"/>
  </c:chart>
  <c:spPr>
    <a:solidFill>
      <a:schemeClr val="accent1">
        <a:lumMod val="60000"/>
        <a:lumOff val="40000"/>
      </a:schemeClr>
    </a:solidFill>
    <a:ln>
      <a:solidFill>
        <a:schemeClr val="accent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2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GB" sz="1800" b="1" baseline="0">
                <a:solidFill>
                  <a:schemeClr val="tx1"/>
                </a:solidFill>
              </a:rPr>
              <a:t>Top10 Usikkerheder</a:t>
            </a:r>
          </a:p>
        </c:rich>
      </c:tx>
      <c:layout>
        <c:manualLayout>
          <c:xMode val="edge"/>
          <c:yMode val="edge"/>
          <c:x val="4.7729940430377954E-2"/>
          <c:y val="0.117215169229273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2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DK"/>
        </a:p>
      </c:txPr>
    </c:title>
    <c:autoTitleDeleted val="0"/>
    <c:plotArea>
      <c:layout>
        <c:manualLayout>
          <c:layoutTarget val="inner"/>
          <c:xMode val="edge"/>
          <c:yMode val="edge"/>
          <c:x val="0.20976057748276672"/>
          <c:y val="0.18293949186380748"/>
          <c:w val="0.76144989909187533"/>
          <c:h val="0.7460647482702978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Data!$AL$10</c:f>
              <c:strCache>
                <c:ptCount val="1"/>
                <c:pt idx="0">
                  <c:v>Min</c:v>
                </c:pt>
              </c:strCache>
            </c:strRef>
          </c:tx>
          <c:spPr>
            <a:solidFill>
              <a:srgbClr val="2AAA8A"/>
            </a:solidFill>
            <a:ln>
              <a:noFill/>
            </a:ln>
            <a:effectLst/>
          </c:spPr>
          <c:invertIfNegative val="0"/>
          <c:cat>
            <c:strRef>
              <c:f>Data!$AP$11:$AP$20</c:f>
              <c:strCache>
                <c:ptCount val="10"/>
                <c:pt idx="0">
                  <c:v>#1: GU(C): Kompet. &amp; Erfa. niveau, P= 21,1%</c:v>
                </c:pt>
                <c:pt idx="1">
                  <c:v>#2: GU(A): Kontraktstrategi, P= 13%</c:v>
                </c:pt>
                <c:pt idx="2">
                  <c:v>#3: GU(H): Krav- og kvalitets-styring, P= 10,8%</c:v>
                </c:pt>
                <c:pt idx="3">
                  <c:v>#4: GU(F): Eksterne forhold, P= 10,8%</c:v>
                </c:pt>
                <c:pt idx="4">
                  <c:v>#5: Opg15: Aptering, P= 8,7%</c:v>
                </c:pt>
                <c:pt idx="5">
                  <c:v>#6: Opg13: Råhus, P= 6,1%</c:v>
                </c:pt>
                <c:pt idx="6">
                  <c:v>#7: GU(I): Politisk indf., P= 6,1%</c:v>
                </c:pt>
                <c:pt idx="7">
                  <c:v>#8: GU(B): Grænseflader, P= 6,1%</c:v>
                </c:pt>
                <c:pt idx="8">
                  <c:v>#9: Opg40: Andet, P= 3,3%</c:v>
                </c:pt>
                <c:pt idx="9">
                  <c:v>#10: Opg16: Installationer, P= 3,3%</c:v>
                </c:pt>
              </c:strCache>
            </c:strRef>
          </c:cat>
          <c:val>
            <c:numRef>
              <c:f>Data!$AL$11:$AL$20</c:f>
              <c:numCache>
                <c:formatCode>0.0%</c:formatCode>
                <c:ptCount val="10"/>
                <c:pt idx="0">
                  <c:v>0.89442677839862095</c:v>
                </c:pt>
                <c:pt idx="1">
                  <c:v>0.93482469482772002</c:v>
                </c:pt>
                <c:pt idx="2">
                  <c:v>0.9461361114278678</c:v>
                </c:pt>
                <c:pt idx="3">
                  <c:v>0.9461361114278678</c:v>
                </c:pt>
                <c:pt idx="4">
                  <c:v>0.95637025025657296</c:v>
                </c:pt>
                <c:pt idx="5">
                  <c:v>0.96970156267817564</c:v>
                </c:pt>
                <c:pt idx="6">
                  <c:v>0.96970156267817564</c:v>
                </c:pt>
                <c:pt idx="7">
                  <c:v>0.96970156267817564</c:v>
                </c:pt>
                <c:pt idx="8">
                  <c:v>0.98370617370693003</c:v>
                </c:pt>
                <c:pt idx="9">
                  <c:v>0.98370617370693003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66-4371-8A0C-5E40AA4A5025}"/>
            </c:ext>
          </c:extLst>
        </c:ser>
        <c:ser>
          <c:idx val="2"/>
          <c:order val="1"/>
          <c:tx>
            <c:strRef>
              <c:f>Data!$AM$10</c:f>
              <c:strCache>
                <c:ptCount val="1"/>
                <c:pt idx="0">
                  <c:v>Middel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Data!$AP$11:$AP$20</c:f>
              <c:strCache>
                <c:ptCount val="10"/>
                <c:pt idx="0">
                  <c:v>#1: GU(C): Kompet. &amp; Erfa. niveau, P= 21,1%</c:v>
                </c:pt>
                <c:pt idx="1">
                  <c:v>#2: GU(A): Kontraktstrategi, P= 13%</c:v>
                </c:pt>
                <c:pt idx="2">
                  <c:v>#3: GU(H): Krav- og kvalitets-styring, P= 10,8%</c:v>
                </c:pt>
                <c:pt idx="3">
                  <c:v>#4: GU(F): Eksterne forhold, P= 10,8%</c:v>
                </c:pt>
                <c:pt idx="4">
                  <c:v>#5: Opg15: Aptering, P= 8,7%</c:v>
                </c:pt>
                <c:pt idx="5">
                  <c:v>#6: Opg13: Råhus, P= 6,1%</c:v>
                </c:pt>
                <c:pt idx="6">
                  <c:v>#7: GU(I): Politisk indf., P= 6,1%</c:v>
                </c:pt>
                <c:pt idx="7">
                  <c:v>#8: GU(B): Grænseflader, P= 6,1%</c:v>
                </c:pt>
                <c:pt idx="8">
                  <c:v>#9: Opg40: Andet, P= 3,3%</c:v>
                </c:pt>
                <c:pt idx="9">
                  <c:v>#10: Opg16: Installationer, P= 3,3%</c:v>
                </c:pt>
              </c:strCache>
            </c:strRef>
          </c:cat>
          <c:val>
            <c:numRef>
              <c:f>Data!$AM$11:$AM$20</c:f>
              <c:numCache>
                <c:formatCode>0.0%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66-4371-8A0C-5E40AA4A5025}"/>
            </c:ext>
          </c:extLst>
        </c:ser>
        <c:ser>
          <c:idx val="1"/>
          <c:order val="2"/>
          <c:tx>
            <c:strRef>
              <c:f>Data!$AN$10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rgbClr val="CC5F50"/>
            </a:solidFill>
            <a:ln>
              <a:noFill/>
            </a:ln>
            <a:effectLst/>
          </c:spPr>
          <c:invertIfNegative val="0"/>
          <c:cat>
            <c:strRef>
              <c:f>Data!$AP$11:$AP$20</c:f>
              <c:strCache>
                <c:ptCount val="10"/>
                <c:pt idx="0">
                  <c:v>#1: GU(C): Kompet. &amp; Erfa. niveau, P= 21,1%</c:v>
                </c:pt>
                <c:pt idx="1">
                  <c:v>#2: GU(A): Kontraktstrategi, P= 13%</c:v>
                </c:pt>
                <c:pt idx="2">
                  <c:v>#3: GU(H): Krav- og kvalitets-styring, P= 10,8%</c:v>
                </c:pt>
                <c:pt idx="3">
                  <c:v>#4: GU(F): Eksterne forhold, P= 10,8%</c:v>
                </c:pt>
                <c:pt idx="4">
                  <c:v>#5: Opg15: Aptering, P= 8,7%</c:v>
                </c:pt>
                <c:pt idx="5">
                  <c:v>#6: Opg13: Råhus, P= 6,1%</c:v>
                </c:pt>
                <c:pt idx="6">
                  <c:v>#7: GU(I): Politisk indf., P= 6,1%</c:v>
                </c:pt>
                <c:pt idx="7">
                  <c:v>#8: GU(B): Grænseflader, P= 6,1%</c:v>
                </c:pt>
                <c:pt idx="8">
                  <c:v>#9: Opg40: Andet, P= 3,3%</c:v>
                </c:pt>
                <c:pt idx="9">
                  <c:v>#10: Opg16: Installationer, P= 3,3%</c:v>
                </c:pt>
              </c:strCache>
            </c:strRef>
          </c:cat>
          <c:val>
            <c:numRef>
              <c:f>Data!$AN$11:$AN$20</c:f>
              <c:numCache>
                <c:formatCode>0.0%</c:formatCode>
                <c:ptCount val="10"/>
                <c:pt idx="0">
                  <c:v>1.1055732216013792</c:v>
                </c:pt>
                <c:pt idx="1">
                  <c:v>1.0651753051722799</c:v>
                </c:pt>
                <c:pt idx="2">
                  <c:v>1.0538638885721321</c:v>
                </c:pt>
                <c:pt idx="3">
                  <c:v>1.0538638885721321</c:v>
                </c:pt>
                <c:pt idx="4">
                  <c:v>1.043629749743427</c:v>
                </c:pt>
                <c:pt idx="5">
                  <c:v>1.0302984373218242</c:v>
                </c:pt>
                <c:pt idx="6">
                  <c:v>1.0302984373218242</c:v>
                </c:pt>
                <c:pt idx="7">
                  <c:v>1.0302984373218242</c:v>
                </c:pt>
                <c:pt idx="8">
                  <c:v>1.0162938262930701</c:v>
                </c:pt>
                <c:pt idx="9">
                  <c:v>1.0162938262930701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66-4371-8A0C-5E40AA4A50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1014732824"/>
        <c:axId val="1014733216"/>
      </c:barChart>
      <c:catAx>
        <c:axId val="10147328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DK"/>
          </a:p>
        </c:txPr>
        <c:crossAx val="1014733216"/>
        <c:crossesAt val="1"/>
        <c:auto val="1"/>
        <c:lblAlgn val="ctr"/>
        <c:lblOffset val="100"/>
        <c:noMultiLvlLbl val="0"/>
      </c:catAx>
      <c:valAx>
        <c:axId val="1014733216"/>
        <c:scaling>
          <c:orientation val="minMax"/>
          <c:min val="0.85000000000000009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DK"/>
          </a:p>
        </c:txPr>
        <c:crossAx val="1014732824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234115861269929"/>
          <c:y val="0.94083316155129393"/>
          <c:w val="0.17523725169290397"/>
          <c:h val="4.03476495277585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K"/>
        </a:p>
      </c:txPr>
    </c:legend>
    <c:plotVisOnly val="0"/>
    <c:dispBlanksAs val="gap"/>
    <c:showDLblsOverMax val="0"/>
  </c:chart>
  <c:spPr>
    <a:solidFill>
      <a:schemeClr val="bg1"/>
    </a:solidFill>
    <a:ln w="19050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DK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baseline="0"/>
            </a:pPr>
            <a:r>
              <a:rPr lang="da-DK" sz="1800" b="1" i="0" baseline="0">
                <a:effectLst/>
              </a:rPr>
              <a:t>Akku. sandsynligheds-kurve </a:t>
            </a:r>
            <a:endParaRPr lang="en-GB">
              <a:effectLst/>
            </a:endParaRPr>
          </a:p>
        </c:rich>
      </c:tx>
      <c:layout>
        <c:manualLayout>
          <c:xMode val="edge"/>
          <c:yMode val="edge"/>
          <c:x val="0.2239537012483814"/>
          <c:y val="4.2952146810594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83419893087336"/>
          <c:y val="0.12589413447782546"/>
          <c:w val="0.8415575654659192"/>
          <c:h val="0.77253218884120167"/>
        </c:manualLayout>
      </c:layout>
      <c:scatterChart>
        <c:scatterStyle val="smoothMarker"/>
        <c:varyColors val="0"/>
        <c:ser>
          <c:idx val="0"/>
          <c:order val="0"/>
          <c:tx>
            <c:v>S-Kurven</c:v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CurveData!$D$15:$D$27</c:f>
              <c:numCache>
                <c:formatCode>General</c:formatCode>
                <c:ptCount val="13"/>
                <c:pt idx="0">
                  <c:v>320.58557196321635</c:v>
                </c:pt>
                <c:pt idx="1">
                  <c:v>351.05302501934693</c:v>
                </c:pt>
                <c:pt idx="2">
                  <c:v>381.52047807547757</c:v>
                </c:pt>
                <c:pt idx="3">
                  <c:v>411.98793113160815</c:v>
                </c:pt>
                <c:pt idx="4">
                  <c:v>442.45538418773873</c:v>
                </c:pt>
                <c:pt idx="5">
                  <c:v>472.92283724386937</c:v>
                </c:pt>
                <c:pt idx="6">
                  <c:v>503.39029029999995</c:v>
                </c:pt>
                <c:pt idx="7">
                  <c:v>533.85774335613053</c:v>
                </c:pt>
                <c:pt idx="8">
                  <c:v>564.32519641226111</c:v>
                </c:pt>
                <c:pt idx="9">
                  <c:v>594.7926494683918</c:v>
                </c:pt>
                <c:pt idx="10">
                  <c:v>625.26010252452238</c:v>
                </c:pt>
                <c:pt idx="11">
                  <c:v>655.72755558065296</c:v>
                </c:pt>
                <c:pt idx="12">
                  <c:v>686.19500863678354</c:v>
                </c:pt>
              </c:numCache>
            </c:numRef>
          </c:xVal>
          <c:yVal>
            <c:numRef>
              <c:f>CurveData!$F$15:$F$27</c:f>
              <c:numCache>
                <c:formatCode>0.000%</c:formatCode>
                <c:ptCount val="13"/>
                <c:pt idx="0">
                  <c:v>1.3498980316300933E-3</c:v>
                </c:pt>
                <c:pt idx="1">
                  <c:v>6.2096653257761236E-3</c:v>
                </c:pt>
                <c:pt idx="2">
                  <c:v>2.2750131948179219E-2</c:v>
                </c:pt>
                <c:pt idx="3">
                  <c:v>6.6807201268858057E-2</c:v>
                </c:pt>
                <c:pt idx="4">
                  <c:v>0.15865525393145691</c:v>
                </c:pt>
                <c:pt idx="5">
                  <c:v>0.30853753872598699</c:v>
                </c:pt>
                <c:pt idx="6">
                  <c:v>0.5</c:v>
                </c:pt>
                <c:pt idx="7">
                  <c:v>0.69146246127401301</c:v>
                </c:pt>
                <c:pt idx="8">
                  <c:v>0.84134474606854281</c:v>
                </c:pt>
                <c:pt idx="9">
                  <c:v>0.93319279873114214</c:v>
                </c:pt>
                <c:pt idx="10">
                  <c:v>0.9772498680518209</c:v>
                </c:pt>
                <c:pt idx="11">
                  <c:v>0.99379033467422384</c:v>
                </c:pt>
                <c:pt idx="12">
                  <c:v>0.9986501019683699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26B-49B9-ADFD-9722D6CE1EC9}"/>
            </c:ext>
          </c:extLst>
        </c:ser>
        <c:ser>
          <c:idx val="1"/>
          <c:order val="1"/>
          <c:tx>
            <c:v>P(50)</c:v>
          </c:tx>
          <c:spPr>
            <a:ln w="25400">
              <a:solidFill>
                <a:srgbClr val="800080"/>
              </a:solidFill>
              <a:prstDash val="lgDash"/>
            </a:ln>
          </c:spPr>
          <c:marker>
            <c:symbol val="none"/>
          </c:marker>
          <c:dLbls>
            <c:dLbl>
              <c:idx val="1"/>
              <c:numFmt formatCode="0.0%" sourceLinked="0"/>
              <c:spPr>
                <a:solidFill>
                  <a:srgbClr val="FFFFFF"/>
                </a:solidFill>
                <a:ln w="25400">
                  <a:solidFill>
                    <a:srgbClr val="000000"/>
                  </a:solidFill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en-D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26B-49B9-ADFD-9722D6CE1EC9}"/>
                </c:ext>
              </c:extLst>
            </c:dLbl>
            <c:numFmt formatCode="0.0" sourceLinked="0"/>
            <c:spPr>
              <a:solidFill>
                <a:srgbClr val="FFFFFF"/>
              </a:solidFill>
              <a:ln w="25400">
                <a:solidFill>
                  <a:srgbClr val="000000"/>
                </a:solidFill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DK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CurveData!$F$2:$F$3</c:f>
              <c:numCache>
                <c:formatCode>General</c:formatCode>
                <c:ptCount val="2"/>
                <c:pt idx="0">
                  <c:v>503.39029029999995</c:v>
                </c:pt>
                <c:pt idx="1">
                  <c:v>503.39029029999995</c:v>
                </c:pt>
              </c:numCache>
            </c:numRef>
          </c:xVal>
          <c:yVal>
            <c:numRef>
              <c:f>CurveData!$G$2:$G$3</c:f>
              <c:numCache>
                <c:formatCode>0.00%</c:formatCode>
                <c:ptCount val="2"/>
                <c:pt idx="0">
                  <c:v>0</c:v>
                </c:pt>
                <c:pt idx="1">
                  <c:v>0.5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A26B-49B9-ADFD-9722D6CE1EC9}"/>
            </c:ext>
          </c:extLst>
        </c:ser>
        <c:ser>
          <c:idx val="2"/>
          <c:order val="2"/>
          <c:tx>
            <c:v>P(50)</c:v>
          </c:tx>
          <c:spPr>
            <a:ln w="25400">
              <a:solidFill>
                <a:srgbClr val="800080"/>
              </a:solidFill>
              <a:prstDash val="lgDash"/>
            </a:ln>
          </c:spPr>
          <c:marker>
            <c:symbol val="none"/>
          </c:marker>
          <c:xVal>
            <c:numRef>
              <c:f>CurveData!$H$2:$H$3</c:f>
              <c:numCache>
                <c:formatCode>General</c:formatCode>
                <c:ptCount val="2"/>
                <c:pt idx="0">
                  <c:v>0</c:v>
                </c:pt>
                <c:pt idx="1">
                  <c:v>503.39029029999995</c:v>
                </c:pt>
              </c:numCache>
            </c:numRef>
          </c:xVal>
          <c:yVal>
            <c:numRef>
              <c:f>CurveData!$I$2:$I$3</c:f>
              <c:numCache>
                <c:formatCode>0.00%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A26B-49B9-ADFD-9722D6CE1EC9}"/>
            </c:ext>
          </c:extLst>
        </c:ser>
        <c:ser>
          <c:idx val="5"/>
          <c:order val="3"/>
          <c:tx>
            <c:strRef>
              <c:f>Data!$G$183</c:f>
              <c:strCache>
                <c:ptCount val="1"/>
                <c:pt idx="0">
                  <c:v>P(85)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ysDash"/>
            </a:ln>
          </c:spPr>
          <c:marker>
            <c:symbol val="none"/>
          </c:marker>
          <c:xVal>
            <c:numRef>
              <c:f>CurveData!$K$2:$K$3</c:f>
              <c:numCache>
                <c:formatCode>#,##0.00</c:formatCode>
                <c:ptCount val="2"/>
                <c:pt idx="0" formatCode="General">
                  <c:v>0</c:v>
                </c:pt>
                <c:pt idx="1">
                  <c:v>566.54526158041665</c:v>
                </c:pt>
              </c:numCache>
            </c:numRef>
          </c:xVal>
          <c:yVal>
            <c:numRef>
              <c:f>CurveData!$L$2:$L$3</c:f>
              <c:numCache>
                <c:formatCode>0.00%</c:formatCode>
                <c:ptCount val="2"/>
                <c:pt idx="0">
                  <c:v>0.85</c:v>
                </c:pt>
                <c:pt idx="1">
                  <c:v>0.85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A26B-49B9-ADFD-9722D6CE1EC9}"/>
            </c:ext>
          </c:extLst>
        </c:ser>
        <c:ser>
          <c:idx val="6"/>
          <c:order val="4"/>
          <c:tx>
            <c:strRef>
              <c:f>Data!$G$183</c:f>
              <c:strCache>
                <c:ptCount val="1"/>
                <c:pt idx="0">
                  <c:v>P(85)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numFmt formatCode="0.0" sourceLinked="0"/>
              <c:spPr>
                <a:solidFill>
                  <a:srgbClr val="FFFFFF"/>
                </a:solidFill>
                <a:ln w="25400">
                  <a:solidFill>
                    <a:srgbClr val="000000"/>
                  </a:solidFill>
                </a:ln>
              </c:spPr>
              <c:txPr>
                <a:bodyPr/>
                <a:lstStyle/>
                <a:p>
                  <a:pPr>
                    <a:defRPr b="1"/>
                  </a:pPr>
                  <a:endParaRPr lang="en-DK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A26B-49B9-ADFD-9722D6CE1EC9}"/>
                </c:ext>
              </c:extLst>
            </c:dLbl>
            <c:dLbl>
              <c:idx val="1"/>
              <c:numFmt formatCode="0.0%" sourceLinked="0"/>
              <c:spPr>
                <a:solidFill>
                  <a:srgbClr val="FFFFFF"/>
                </a:solidFill>
                <a:ln w="25400">
                  <a:solidFill>
                    <a:srgbClr val="008000"/>
                  </a:solidFill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en-D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26B-49B9-ADFD-9722D6CE1EC9}"/>
                </c:ext>
              </c:extLst>
            </c:dLbl>
            <c:numFmt formatCode="0.0" sourceLinked="0"/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DK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CurveData!$M$2:$M$3</c:f>
              <c:numCache>
                <c:formatCode>General</c:formatCode>
                <c:ptCount val="2"/>
                <c:pt idx="0">
                  <c:v>566.54526158041665</c:v>
                </c:pt>
                <c:pt idx="1">
                  <c:v>566.54526158041665</c:v>
                </c:pt>
              </c:numCache>
            </c:numRef>
          </c:xVal>
          <c:yVal>
            <c:numRef>
              <c:f>CurveData!$N$2:$N$3</c:f>
              <c:numCache>
                <c:formatCode>0.00%</c:formatCode>
                <c:ptCount val="2"/>
                <c:pt idx="0">
                  <c:v>0</c:v>
                </c:pt>
                <c:pt idx="1">
                  <c:v>0.85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A26B-49B9-ADFD-9722D6CE1EC9}"/>
            </c:ext>
          </c:extLst>
        </c:ser>
        <c:ser>
          <c:idx val="3"/>
          <c:order val="5"/>
          <c:tx>
            <c:strRef>
              <c:f>Data!$G$184</c:f>
              <c:strCache>
                <c:ptCount val="1"/>
                <c:pt idx="0">
                  <c:v>P(95)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dash"/>
            </a:ln>
          </c:spPr>
          <c:marker>
            <c:symbol val="none"/>
          </c:marker>
          <c:xVal>
            <c:numRef>
              <c:f>CurveData!$P$2:$P$3</c:f>
              <c:numCache>
                <c:formatCode>#,##0.00</c:formatCode>
                <c:ptCount val="2"/>
                <c:pt idx="0" formatCode="General">
                  <c:v>0</c:v>
                </c:pt>
                <c:pt idx="1">
                  <c:v>603.61929162670015</c:v>
                </c:pt>
              </c:numCache>
            </c:numRef>
          </c:xVal>
          <c:yVal>
            <c:numRef>
              <c:f>CurveData!$Q$2:$Q$3</c:f>
              <c:numCache>
                <c:formatCode>0.00%</c:formatCode>
                <c:ptCount val="2"/>
                <c:pt idx="0">
                  <c:v>0.95</c:v>
                </c:pt>
                <c:pt idx="1">
                  <c:v>0.95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A26B-49B9-ADFD-9722D6CE1EC9}"/>
            </c:ext>
          </c:extLst>
        </c:ser>
        <c:ser>
          <c:idx val="4"/>
          <c:order val="6"/>
          <c:tx>
            <c:strRef>
              <c:f>Data!$G$184</c:f>
              <c:strCache>
                <c:ptCount val="1"/>
                <c:pt idx="0">
                  <c:v>P(95)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dash"/>
            </a:ln>
          </c:spPr>
          <c:marker>
            <c:symbol val="none"/>
          </c:marker>
          <c:dLbls>
            <c:dLbl>
              <c:idx val="0"/>
              <c:numFmt formatCode="#,##0.0" sourceLinked="0"/>
              <c:spPr>
                <a:solidFill>
                  <a:schemeClr val="bg1"/>
                </a:solidFill>
                <a:ln w="25400">
                  <a:solidFill>
                    <a:srgbClr val="FF0000"/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en-DK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26B-49B9-ADFD-9722D6CE1EC9}"/>
                </c:ext>
              </c:extLst>
            </c:dLbl>
            <c:dLbl>
              <c:idx val="1"/>
              <c:numFmt formatCode="0.0%" sourceLinked="0"/>
              <c:spPr>
                <a:solidFill>
                  <a:schemeClr val="bg1"/>
                </a:solidFill>
                <a:ln w="15875">
                  <a:solidFill>
                    <a:srgbClr val="FF0000"/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en-D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A26B-49B9-ADFD-9722D6CE1EC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D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CurveData!$R$2:$R$3</c:f>
              <c:numCache>
                <c:formatCode>#,##0.00</c:formatCode>
                <c:ptCount val="2"/>
                <c:pt idx="0">
                  <c:v>603.61929162670015</c:v>
                </c:pt>
                <c:pt idx="1">
                  <c:v>603.61929162670015</c:v>
                </c:pt>
              </c:numCache>
            </c:numRef>
          </c:xVal>
          <c:yVal>
            <c:numRef>
              <c:f>CurveData!$S$2:$S$3</c:f>
              <c:numCache>
                <c:formatCode>0.00%</c:formatCode>
                <c:ptCount val="2"/>
                <c:pt idx="0">
                  <c:v>0</c:v>
                </c:pt>
                <c:pt idx="1">
                  <c:v>0.95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A26B-49B9-ADFD-9722D6CE1E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4558632"/>
        <c:axId val="944555888"/>
      </c:scatterChart>
      <c:valAx>
        <c:axId val="944558632"/>
        <c:scaling>
          <c:orientation val="minMax"/>
          <c:max val="700"/>
          <c:min val="300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strRef>
              <c:f>Data!$E$25</c:f>
              <c:strCache>
                <c:ptCount val="1"/>
                <c:pt idx="0">
                  <c:v>Mill.</c:v>
                </c:pt>
              </c:strCache>
            </c:strRef>
          </c:tx>
          <c:layout>
            <c:manualLayout>
              <c:xMode val="edge"/>
              <c:yMode val="edge"/>
              <c:x val="0.94042544691942087"/>
              <c:y val="0.8549478101049689"/>
            </c:manualLayout>
          </c:layout>
          <c:overlay val="0"/>
          <c:spPr>
            <a:solidFill>
              <a:schemeClr val="bg1"/>
            </a:solidFill>
            <a:ln w="15875">
              <a:solidFill>
                <a:schemeClr val="tx1"/>
              </a:solidFill>
            </a:ln>
          </c:spPr>
          <c:txPr>
            <a:bodyPr/>
            <a:lstStyle/>
            <a:p>
              <a:pPr>
                <a:defRPr b="1" i="0" baseline="0"/>
              </a:pPr>
              <a:endParaRPr lang="en-DK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b="1" i="0" baseline="0"/>
            </a:pPr>
            <a:endParaRPr lang="en-DK"/>
          </a:p>
        </c:txPr>
        <c:crossAx val="944555888"/>
        <c:crosses val="autoZero"/>
        <c:crossBetween val="midCat"/>
        <c:majorUnit val="20"/>
        <c:minorUnit val="10"/>
      </c:valAx>
      <c:valAx>
        <c:axId val="94455588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600" b="1" i="0" baseline="0"/>
                </a:pPr>
                <a:r>
                  <a:rPr lang="da-DK" sz="1800" b="1" i="0" baseline="0">
                    <a:effectLst/>
                  </a:rPr>
                  <a:t>Akkumuleret Sandsynlighed</a:t>
                </a:r>
                <a:endParaRPr lang="en-GB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2462073914080376E-2"/>
              <c:y val="0.3089602098840448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spPr>
          <a:ln w="190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b="1" i="0" baseline="0"/>
            </a:pPr>
            <a:endParaRPr lang="en-DK"/>
          </a:p>
        </c:txPr>
        <c:crossAx val="944558632"/>
        <c:crosses val="autoZero"/>
        <c:crossBetween val="midCat"/>
        <c:majorUnit val="0.1"/>
        <c:minorUnit val="0.05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solidFill>
        <a:schemeClr val="accent1"/>
      </a:solidFill>
    </a:ln>
  </c:spPr>
  <c:txPr>
    <a:bodyPr/>
    <a:lstStyle/>
    <a:p>
      <a:pPr>
        <a:defRPr sz="1200" b="0" i="0" u="none" strike="noStrike" baseline="0">
          <a:solidFill>
            <a:schemeClr val="tx1"/>
          </a:solidFill>
          <a:latin typeface="Garamond"/>
          <a:ea typeface="Garamond"/>
          <a:cs typeface="Garamond"/>
        </a:defRPr>
      </a:pPr>
      <a:endParaRPr lang="en-DK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title>
      <c:tx>
        <c:strRef>
          <c:f>Data!$I$81</c:f>
          <c:strCache>
            <c:ptCount val="1"/>
            <c:pt idx="0">
              <c:v>Top 10: Alle elementer * B.Faktor and P(85)</c:v>
            </c:pt>
          </c:strCache>
        </c:strRef>
      </c:tx>
      <c:layout>
        <c:manualLayout>
          <c:xMode val="edge"/>
          <c:yMode val="edge"/>
          <c:x val="0.67273472497490017"/>
          <c:y val="0.20966112262586706"/>
        </c:manualLayout>
      </c:layout>
      <c:overlay val="0"/>
      <c:txPr>
        <a:bodyPr/>
        <a:lstStyle/>
        <a:p>
          <a:pPr>
            <a:defRPr baseline="0">
              <a:solidFill>
                <a:schemeClr val="tx1"/>
              </a:solidFill>
            </a:defRPr>
          </a:pPr>
          <a:endParaRPr lang="en-DK"/>
        </a:p>
      </c:txPr>
    </c:title>
    <c:autoTitleDeleted val="0"/>
    <c:plotArea>
      <c:layout>
        <c:manualLayout>
          <c:layoutTarget val="inner"/>
          <c:xMode val="edge"/>
          <c:yMode val="edge"/>
          <c:x val="0.12809356098897623"/>
          <c:y val="0.20136081172146159"/>
          <c:w val="0.44014036269075424"/>
          <c:h val="0.71889596211779228"/>
        </c:manualLayout>
      </c:layout>
      <c:pieChart>
        <c:varyColors val="1"/>
        <c:ser>
          <c:idx val="0"/>
          <c:order val="0"/>
          <c:explosion val="9"/>
          <c:dPt>
            <c:idx val="0"/>
            <c:bubble3D val="0"/>
            <c:explosion val="11"/>
            <c:extLst>
              <c:ext xmlns:c16="http://schemas.microsoft.com/office/drawing/2014/chart" uri="{C3380CC4-5D6E-409C-BE32-E72D297353CC}">
                <c16:uniqueId val="{00000000-D6D8-460E-86B4-30C7FB3FFE9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6D8-460E-86B4-30C7FB3FFE9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D6D8-460E-86B4-30C7FB3FFE9B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D6D8-460E-86B4-30C7FB3FFE9B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D6D8-460E-86B4-30C7FB3FFE9B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D6D8-460E-86B4-30C7FB3FFE9B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solidFill>
                      <a:schemeClr val="tx1"/>
                    </a:solidFill>
                  </a:defRPr>
                </a:pPr>
                <a:endParaRPr lang="en-DK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Data!$BS$84:$BS$93</c:f>
              <c:strCache>
                <c:ptCount val="10"/>
                <c:pt idx="0">
                  <c:v>#1: Opg.7: Råhus</c:v>
                </c:pt>
                <c:pt idx="1">
                  <c:v>#2: Opg.5: Aptering</c:v>
                </c:pt>
                <c:pt idx="2">
                  <c:v>#3: Opg.12: Andet</c:v>
                </c:pt>
                <c:pt idx="3">
                  <c:v>#4: Opg.4: Installationer</c:v>
                </c:pt>
                <c:pt idx="4">
                  <c:v>#5: Opg.8: Byggeplads</c:v>
                </c:pt>
                <c:pt idx="5">
                  <c:v>#6: G.U.4: Krav- og kvalitets-styring</c:v>
                </c:pt>
                <c:pt idx="6">
                  <c:v>#7: Opg.4: Grundkøb</c:v>
                </c:pt>
                <c:pt idx="7">
                  <c:v>#8: G.U.2: Geografisk-indeks</c:v>
                </c:pt>
                <c:pt idx="8">
                  <c:v>#9: G.U.6: Eksterne forhold</c:v>
                </c:pt>
                <c:pt idx="9">
                  <c:v>#10: Opg.9: Nedbrydning</c:v>
                </c:pt>
              </c:strCache>
            </c:strRef>
          </c:cat>
          <c:val>
            <c:numRef>
              <c:f>Data!$BQ$84:$BQ$93</c:f>
              <c:numCache>
                <c:formatCode>0.0</c:formatCode>
                <c:ptCount val="10"/>
                <c:pt idx="0">
                  <c:v>118.17322187619428</c:v>
                </c:pt>
                <c:pt idx="1">
                  <c:v>55.147503542224001</c:v>
                </c:pt>
                <c:pt idx="2">
                  <c:v>51.771125774332731</c:v>
                </c:pt>
                <c:pt idx="3">
                  <c:v>45.018370238550204</c:v>
                </c:pt>
                <c:pt idx="4">
                  <c:v>37.140155446803917</c:v>
                </c:pt>
                <c:pt idx="5">
                  <c:v>21.383725863311348</c:v>
                </c:pt>
                <c:pt idx="6">
                  <c:v>20.25826660734759</c:v>
                </c:pt>
                <c:pt idx="7">
                  <c:v>19.132807351383835</c:v>
                </c:pt>
                <c:pt idx="8">
                  <c:v>18.007348095420081</c:v>
                </c:pt>
                <c:pt idx="9">
                  <c:v>15.756429583492571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6D8-460E-86B4-30C7FB3FF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6641271077985742"/>
          <c:y val="0.27194926942126085"/>
          <c:w val="0.30976006000264272"/>
          <c:h val="0.54114362435987062"/>
        </c:manualLayout>
      </c:layout>
      <c:overlay val="0"/>
      <c:txPr>
        <a:bodyPr anchor="ctr" anchorCtr="0"/>
        <a:lstStyle/>
        <a:p>
          <a:pPr>
            <a:defRPr baseline="0">
              <a:solidFill>
                <a:schemeClr val="tx1"/>
              </a:solidFill>
            </a:defRPr>
          </a:pPr>
          <a:endParaRPr lang="en-DK"/>
        </a:p>
      </c:txPr>
    </c:legend>
    <c:plotVisOnly val="0"/>
    <c:dispBlanksAs val="zero"/>
    <c:showDLblsOverMax val="0"/>
  </c:chart>
  <c:spPr>
    <a:solidFill>
      <a:schemeClr val="accent1">
        <a:lumMod val="60000"/>
        <a:lumOff val="40000"/>
      </a:schemeClr>
    </a:solidFill>
    <a:ln>
      <a:solidFill>
        <a:schemeClr val="accent1"/>
      </a:solidFill>
    </a:ln>
  </c:sp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title>
      <c:tx>
        <c:rich>
          <a:bodyPr/>
          <a:lstStyle/>
          <a:p>
            <a:pPr>
              <a:defRPr baseline="0">
                <a:solidFill>
                  <a:schemeClr val="tx1"/>
                </a:solidFill>
              </a:defRPr>
            </a:pPr>
            <a:r>
              <a:rPr lang="da-DK" sz="1600" baseline="0">
                <a:solidFill>
                  <a:schemeClr val="tx1"/>
                </a:solidFill>
              </a:rPr>
              <a:t>Top10 Usikkerheds-elementer</a:t>
            </a:r>
          </a:p>
        </c:rich>
      </c:tx>
      <c:layout>
        <c:manualLayout>
          <c:xMode val="edge"/>
          <c:yMode val="edge"/>
          <c:x val="0.64974649464671375"/>
          <c:y val="0.27497718713217739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151374788835936"/>
          <c:y val="0.20361240232839289"/>
          <c:w val="0.44014036269075424"/>
          <c:h val="0.71889596211779228"/>
        </c:manualLayout>
      </c:layout>
      <c:pieChart>
        <c:varyColors val="1"/>
        <c:ser>
          <c:idx val="0"/>
          <c:order val="0"/>
          <c:explosion val="9"/>
          <c:dPt>
            <c:idx val="0"/>
            <c:bubble3D val="0"/>
            <c:explosion val="11"/>
            <c:extLst>
              <c:ext xmlns:c16="http://schemas.microsoft.com/office/drawing/2014/chart" uri="{C3380CC4-5D6E-409C-BE32-E72D297353CC}">
                <c16:uniqueId val="{00000000-2378-4BF0-97ED-CBDCB1F10669}"/>
              </c:ext>
            </c:extLst>
          </c:dPt>
          <c:dPt>
            <c:idx val="1"/>
            <c:bubble3D val="0"/>
            <c:explosion val="8"/>
            <c:extLst>
              <c:ext xmlns:c16="http://schemas.microsoft.com/office/drawing/2014/chart" uri="{C3380CC4-5D6E-409C-BE32-E72D297353CC}">
                <c16:uniqueId val="{00000001-2378-4BF0-97ED-CBDCB1F1066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378-4BF0-97ED-CBDCB1F10669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2378-4BF0-97ED-CBDCB1F10669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2378-4BF0-97ED-CBDCB1F10669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2378-4BF0-97ED-CBDCB1F10669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solidFill>
                      <a:schemeClr val="tx1"/>
                    </a:solidFill>
                  </a:defRPr>
                </a:pPr>
                <a:endParaRPr lang="en-DK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Data!$AP$11:$AP$20</c:f>
              <c:strCache>
                <c:ptCount val="10"/>
                <c:pt idx="0">
                  <c:v>#1: GU(C): Kompet. &amp; Erfa. niveau, P= 21,1%</c:v>
                </c:pt>
                <c:pt idx="1">
                  <c:v>#2: GU(A): Kontraktstrategi, P= 13%</c:v>
                </c:pt>
                <c:pt idx="2">
                  <c:v>#3: GU(H): Krav- og kvalitets-styring, P= 10,8%</c:v>
                </c:pt>
                <c:pt idx="3">
                  <c:v>#4: GU(F): Eksterne forhold, P= 10,8%</c:v>
                </c:pt>
                <c:pt idx="4">
                  <c:v>#5: Opg15: Aptering, P= 8,7%</c:v>
                </c:pt>
                <c:pt idx="5">
                  <c:v>#6: Opg13: Råhus, P= 6,1%</c:v>
                </c:pt>
                <c:pt idx="6">
                  <c:v>#7: GU(I): Politisk indf., P= 6,1%</c:v>
                </c:pt>
                <c:pt idx="7">
                  <c:v>#8: GU(B): Grænseflader, P= 6,1%</c:v>
                </c:pt>
                <c:pt idx="8">
                  <c:v>#9: Opg40: Andet, P= 3,3%</c:v>
                </c:pt>
                <c:pt idx="9">
                  <c:v>#10: Opg16: Installationer, P= 3,3%</c:v>
                </c:pt>
              </c:strCache>
            </c:strRef>
          </c:cat>
          <c:val>
            <c:numRef>
              <c:f>Data!$AJ$11:$AJ$20</c:f>
              <c:numCache>
                <c:formatCode>0.00%</c:formatCode>
                <c:ptCount val="10"/>
                <c:pt idx="0">
                  <c:v>0.21114644320275819</c:v>
                </c:pt>
                <c:pt idx="1">
                  <c:v>0.13035061034455991</c:v>
                </c:pt>
                <c:pt idx="2">
                  <c:v>0.10772777714426439</c:v>
                </c:pt>
                <c:pt idx="3">
                  <c:v>0.10772777714426439</c:v>
                </c:pt>
                <c:pt idx="4">
                  <c:v>8.7259499486854145E-2</c:v>
                </c:pt>
                <c:pt idx="5">
                  <c:v>6.0596874643648713E-2</c:v>
                </c:pt>
                <c:pt idx="6">
                  <c:v>6.0596874643648713E-2</c:v>
                </c:pt>
                <c:pt idx="7">
                  <c:v>6.0596874643648713E-2</c:v>
                </c:pt>
                <c:pt idx="8">
                  <c:v>3.2587652586139979E-2</c:v>
                </c:pt>
                <c:pt idx="9">
                  <c:v>3.2587652586139979E-2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378-4BF0-97ED-CBDCB1F10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364465024389648"/>
          <c:y val="0.33274218737949773"/>
          <c:w val="0.34426092811050629"/>
          <c:h val="0.54114362435987062"/>
        </c:manualLayout>
      </c:layout>
      <c:overlay val="0"/>
      <c:txPr>
        <a:bodyPr/>
        <a:lstStyle/>
        <a:p>
          <a:pPr>
            <a:defRPr baseline="0">
              <a:solidFill>
                <a:schemeClr val="tx1"/>
              </a:solidFill>
            </a:defRPr>
          </a:pPr>
          <a:endParaRPr lang="en-DK"/>
        </a:p>
      </c:txPr>
    </c:legend>
    <c:plotVisOnly val="0"/>
    <c:dispBlanksAs val="zero"/>
    <c:showDLblsOverMax val="0"/>
  </c:chart>
  <c:spPr>
    <a:solidFill>
      <a:srgbClr val="FF0000">
        <a:alpha val="32000"/>
      </a:srgbClr>
    </a:solidFill>
    <a:ln>
      <a:solidFill>
        <a:schemeClr val="accent1"/>
      </a:solidFill>
    </a:ln>
  </c:spPr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Chart4">
    <tabColor rgb="FFFFC000"/>
  </sheetPr>
  <sheetViews>
    <sheetView zoomScale="90" workbookViewId="0"/>
  </sheetViews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 codeName="Chart8">
    <tabColor rgb="FF66FFFF"/>
  </sheetPr>
  <sheetViews>
    <sheetView zoomScale="90" workbookViewId="0"/>
  </sheetViews>
  <pageMargins left="0.55118110236220474" right="0.51181102362204722" top="0.35433070866141736" bottom="0.51181102362204722" header="0" footer="0.19685039370078741"/>
  <pageSetup paperSize="9" orientation="landscape" horizontalDpi="4294967293" r:id="rId1"/>
  <headerFooter alignWithMargins="0">
    <oddHeader>&amp;LRisk Assessment&amp;CProject Management&amp;RCopyFree</oddHeader>
    <oddFooter>&amp;LDate: &amp;D
File: &amp;F&amp;C&amp;A&amp;RSide &amp;P/&amp;N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 codeName="Chart7">
    <tabColor rgb="FF0000FF"/>
  </sheetPr>
  <sheetViews>
    <sheetView zoomScale="86" workbookViewId="0"/>
  </sheetViews>
  <pageMargins left="0.25" right="0.25" top="0.75" bottom="0.75" header="0.3" footer="0.3"/>
  <pageSetup paperSize="9" orientation="landscape" r:id="rId1"/>
  <headerFooter alignWithMargins="0">
    <oddHeader>&amp;LRisk Assessment&amp;CProject Management&amp;RCopyFree</oddHeader>
    <oddFooter>&amp;LDate: &amp;D
File: &amp;F&amp;C&amp;A&amp;RPage &amp;P/&amp;N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Chart3">
    <tabColor rgb="FFFF7C80"/>
  </sheetPr>
  <sheetViews>
    <sheetView zoomScale="90" workbookViewId="0"/>
  </sheetViews>
  <pageMargins left="0.25" right="0.25" top="0.75" bottom="0.75" header="0.3" footer="0.3"/>
  <pageSetup paperSize="9" orientation="landscape" r:id="rId1"/>
  <headerFooter alignWithMargins="0">
    <oddHeader>&amp;LRisk Assessment&amp;CProject Management&amp;RCopyFree</oddHeader>
    <oddFooter>&amp;LDate: &amp;D
File: &amp;F&amp;C&amp;A&amp;RPage &amp;P/&amp;N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www.youtube.com/@Risk-og-EBIT-Styring/videos" TargetMode="Externa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https://www.youtube.com/@Risk-og-EBIT-Styring/videos" TargetMode="External"/><Relationship Id="rId5" Type="http://schemas.openxmlformats.org/officeDocument/2006/relationships/chart" Target="../charts/chart1.xml"/><Relationship Id="rId4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svg"/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0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0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409701</xdr:colOff>
      <xdr:row>23</xdr:row>
      <xdr:rowOff>86360</xdr:rowOff>
    </xdr:from>
    <xdr:to>
      <xdr:col>5</xdr:col>
      <xdr:colOff>629920</xdr:colOff>
      <xdr:row>46</xdr:row>
      <xdr:rowOff>34041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475397-E0BD-C6BC-5397-9F482A962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701" y="3439160"/>
          <a:ext cx="3430779" cy="1923801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>
    <xdr:from>
      <xdr:col>0</xdr:col>
      <xdr:colOff>81280</xdr:colOff>
      <xdr:row>50</xdr:row>
      <xdr:rowOff>71120</xdr:rowOff>
    </xdr:from>
    <xdr:to>
      <xdr:col>8</xdr:col>
      <xdr:colOff>50800</xdr:colOff>
      <xdr:row>84</xdr:row>
      <xdr:rowOff>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81280" y="6111240"/>
          <a:ext cx="9220200" cy="53898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400" b="1" baseline="0">
              <a:solidFill>
                <a:schemeClr val="tx1"/>
              </a:solidFill>
            </a:rPr>
            <a:t>ESTIMERING AF OMGIVELSERNE?</a:t>
          </a:r>
        </a:p>
        <a:p>
          <a:pPr algn="l"/>
          <a:r>
            <a:rPr lang="da-DK" sz="1400" baseline="0">
              <a:solidFill>
                <a:schemeClr val="tx1"/>
              </a:solidFill>
            </a:rPr>
            <a:t>Den nok største udfordring i estimering af projekter, er estimering af usikkerhederne i omgivelserne. Fx. hvor meget myndigheder, kontraktforhold, portefølje styring, projekt modenhed, variationer i kompetencer og interfaces mellem entrepriser. </a:t>
          </a:r>
        </a:p>
        <a:p>
          <a:pPr algn="l"/>
          <a:endParaRPr lang="da-DK" sz="1400" baseline="0">
            <a:solidFill>
              <a:schemeClr val="tx1"/>
            </a:solidFill>
          </a:endParaRPr>
        </a:p>
        <a:p>
          <a:pPr algn="l"/>
          <a:r>
            <a:rPr lang="da-DK" sz="1400" baseline="0">
              <a:solidFill>
                <a:schemeClr val="tx1"/>
              </a:solidFill>
            </a:rPr>
            <a:t>Alle ved at der ofte kommer uforudsete hændelser og forhold ind fra projektets omgivelser, der kan give store forstyrrelser i budget og tidsplan. Så hvorfor ikke tage det med i estimeringen. Det er netop det Successiv Princippet kan. Man ser ofte at omgivelserne bidrager med 80-90% af usikkerhederne i starten af et projektforløb.</a:t>
          </a:r>
        </a:p>
        <a:p>
          <a:pPr algn="l"/>
          <a:endParaRPr lang="da-DK" sz="1400" baseline="0">
            <a:solidFill>
              <a:schemeClr val="tx1"/>
            </a:solidFill>
          </a:endParaRPr>
        </a:p>
        <a:p>
          <a:pPr algn="l"/>
          <a:r>
            <a:rPr lang="da-DK" sz="1400" b="1" baseline="0">
              <a:solidFill>
                <a:schemeClr val="tx1"/>
              </a:solidFill>
            </a:rPr>
            <a:t>CASES</a:t>
          </a:r>
        </a:p>
        <a:p>
          <a:pPr algn="l"/>
          <a:r>
            <a:rPr lang="da-DK" sz="1400" baseline="0">
              <a:solidFill>
                <a:schemeClr val="tx1"/>
              </a:solidFill>
            </a:rPr>
            <a:t>COMPILOT har brugt metoden med succes i flere projekter og business cases. Fx:</a:t>
          </a:r>
        </a:p>
        <a:p>
          <a:pPr algn="l"/>
          <a:endParaRPr lang="da-DK" sz="1400" baseline="0">
            <a:solidFill>
              <a:schemeClr val="tx1"/>
            </a:solidFill>
          </a:endParaRPr>
        </a:p>
        <a:p>
          <a:pPr algn="l"/>
          <a:r>
            <a:rPr lang="da-DK" sz="1400" baseline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● Udvikling af et stort HW/SW Turbine Controller Platform, Mita-Teknik</a:t>
          </a:r>
        </a:p>
        <a:p>
          <a:pPr algn="l"/>
          <a:r>
            <a:rPr lang="da-DK" sz="1400" baseline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● Udvikling of a large  HW/SW Turbine Controller Platform, Energibranchen</a:t>
          </a:r>
        </a:p>
        <a:p>
          <a:pPr algn="l"/>
          <a:r>
            <a:rPr lang="da-DK" sz="1400" baseline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● Udvikling af en ny 3 MW Direct Drive Wind Turbine</a:t>
          </a:r>
        </a:p>
        <a:p>
          <a:pPr algn="l"/>
          <a:r>
            <a:rPr lang="da-DK" sz="1400" baseline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● Udvikling af en ny 6 MW Direct Drive Wind Turbine, Danish Wind Design</a:t>
          </a:r>
          <a:endParaRPr lang="da-DK" sz="1400" baseline="0">
            <a:solidFill>
              <a:schemeClr val="tx1"/>
            </a:solidFill>
            <a:latin typeface="+mn-lt"/>
            <a:cs typeface="+mn-cs"/>
          </a:endParaRPr>
        </a:p>
        <a:p>
          <a:pPr algn="l"/>
          <a:r>
            <a:rPr lang="da-DK" sz="1400" baseline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● Finansiel Risk Assessment af en stor Offshore Wind Farm i UK, Vattenfall</a:t>
          </a:r>
        </a:p>
        <a:p>
          <a:pPr algn="l"/>
          <a:r>
            <a:rPr lang="da-DK" sz="1400" baseline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● Finansiel Risk Assessment af en Offshore Wind Farm in USA, Tysk klient</a:t>
          </a:r>
        </a:p>
        <a:p>
          <a:pPr algn="l"/>
          <a:endParaRPr lang="da-DK" sz="1400" baseline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da-DK" sz="1400" b="1" baseline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Successiv princippet giver:</a:t>
          </a:r>
        </a:p>
        <a:p>
          <a:pPr algn="l"/>
          <a:r>
            <a:rPr lang="da-DK" sz="1400" baseline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● Overblik af Top10 risiko elements</a:t>
          </a:r>
        </a:p>
        <a:p>
          <a:pPr algn="l"/>
          <a:r>
            <a:rPr lang="da-DK" sz="1400" baseline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● Robuste planer, idet projektet kan frontloaded med ressourcerne</a:t>
          </a:r>
        </a:p>
        <a:p>
          <a:pPr algn="l"/>
          <a:r>
            <a:rPr lang="da-DK" sz="1400" baseline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● Stimulerer Team Spirit, idet interessenterne er involveret i gruppe estimeringen</a:t>
          </a:r>
        </a:p>
        <a:p>
          <a:pPr algn="l"/>
          <a:r>
            <a:rPr lang="da-DK" sz="1400" baseline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● Fælles indsigt i projektet på tværs af afdelinger og interessenterne</a:t>
          </a:r>
        </a:p>
      </xdr:txBody>
    </xdr:sp>
    <xdr:clientData/>
  </xdr:twoCellAnchor>
  <xdr:twoCellAnchor editAs="oneCell">
    <xdr:from>
      <xdr:col>7</xdr:col>
      <xdr:colOff>228600</xdr:colOff>
      <xdr:row>66</xdr:row>
      <xdr:rowOff>94525</xdr:rowOff>
    </xdr:from>
    <xdr:to>
      <xdr:col>7</xdr:col>
      <xdr:colOff>2357120</xdr:colOff>
      <xdr:row>74</xdr:row>
      <xdr:rowOff>43726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4828" y="8708753"/>
          <a:ext cx="2128520" cy="1226458"/>
        </a:xfrm>
        <a:prstGeom prst="rect">
          <a:avLst/>
        </a:prstGeom>
      </xdr:spPr>
    </xdr:pic>
    <xdr:clientData/>
  </xdr:twoCellAnchor>
  <xdr:twoCellAnchor>
    <xdr:from>
      <xdr:col>3</xdr:col>
      <xdr:colOff>523240</xdr:colOff>
      <xdr:row>18</xdr:row>
      <xdr:rowOff>40640</xdr:rowOff>
    </xdr:from>
    <xdr:to>
      <xdr:col>5</xdr:col>
      <xdr:colOff>706120</xdr:colOff>
      <xdr:row>22</xdr:row>
      <xdr:rowOff>25400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316480" y="3002280"/>
          <a:ext cx="1600200" cy="7721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a-DK" sz="1200" i="0">
              <a:solidFill>
                <a:schemeClr val="tx1"/>
              </a:solidFill>
            </a:rPr>
            <a:t>Anbefalet Programmel.</a:t>
          </a:r>
        </a:p>
        <a:p>
          <a:pPr algn="ctr"/>
          <a:r>
            <a:rPr lang="da-DK" sz="1200" b="1" i="0">
              <a:solidFill>
                <a:schemeClr val="tx1"/>
              </a:solidFill>
            </a:rPr>
            <a:t>Se Futuraone.com</a:t>
          </a:r>
        </a:p>
      </xdr:txBody>
    </xdr:sp>
    <xdr:clientData/>
  </xdr:twoCellAnchor>
  <xdr:twoCellAnchor>
    <xdr:from>
      <xdr:col>1</xdr:col>
      <xdr:colOff>441959</xdr:colOff>
      <xdr:row>18</xdr:row>
      <xdr:rowOff>117476</xdr:rowOff>
    </xdr:from>
    <xdr:to>
      <xdr:col>3</xdr:col>
      <xdr:colOff>203200</xdr:colOff>
      <xdr:row>22</xdr:row>
      <xdr:rowOff>21734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799" y="2484756"/>
          <a:ext cx="1056641" cy="691658"/>
        </a:xfrm>
        <a:prstGeom prst="rect">
          <a:avLst/>
        </a:prstGeom>
      </xdr:spPr>
    </xdr:pic>
    <xdr:clientData/>
  </xdr:twoCellAnchor>
  <xdr:twoCellAnchor>
    <xdr:from>
      <xdr:col>0</xdr:col>
      <xdr:colOff>213360</xdr:colOff>
      <xdr:row>2</xdr:row>
      <xdr:rowOff>45720</xdr:rowOff>
    </xdr:from>
    <xdr:to>
      <xdr:col>8</xdr:col>
      <xdr:colOff>203200</xdr:colOff>
      <xdr:row>17</xdr:row>
      <xdr:rowOff>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13360" y="553720"/>
          <a:ext cx="9240520" cy="20574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300" b="1" i="1">
              <a:solidFill>
                <a:schemeClr val="tx1"/>
              </a:solidFill>
            </a:rPr>
            <a:t>Successiv</a:t>
          </a:r>
          <a:r>
            <a:rPr lang="da-DK" sz="1300" b="1" i="1" baseline="0">
              <a:solidFill>
                <a:schemeClr val="tx1"/>
              </a:solidFill>
            </a:rPr>
            <a:t> </a:t>
          </a:r>
          <a:r>
            <a:rPr lang="da-DK" sz="1300" b="1" i="1">
              <a:solidFill>
                <a:schemeClr val="tx1"/>
              </a:solidFill>
            </a:rPr>
            <a:t>Princippet </a:t>
          </a:r>
          <a:r>
            <a:rPr lang="da-DK" sz="1300" b="0" i="0">
              <a:solidFill>
                <a:schemeClr val="tx1"/>
              </a:solidFill>
            </a:rPr>
            <a:t>er</a:t>
          </a:r>
          <a:r>
            <a:rPr lang="da-DK" sz="1300" b="0" i="0" baseline="0">
              <a:solidFill>
                <a:schemeClr val="tx1"/>
              </a:solidFill>
            </a:rPr>
            <a:t> en af verdenens mest</a:t>
          </a:r>
          <a:r>
            <a:rPr lang="da-DK" sz="1300" b="1" baseline="0">
              <a:solidFill>
                <a:schemeClr val="tx1"/>
              </a:solidFill>
            </a:rPr>
            <a:t> kraftfulde og effektive estimerings-metoder </a:t>
          </a:r>
          <a:r>
            <a:rPr lang="da-DK" sz="1300" baseline="0">
              <a:solidFill>
                <a:schemeClr val="tx1"/>
              </a:solidFill>
            </a:rPr>
            <a:t>i den moderne forretnings- og projekt-verden. Hovedprincippet er en trepunkts estimering som er let at bruge og forstå. </a:t>
          </a:r>
        </a:p>
        <a:p>
          <a:pPr algn="l"/>
          <a:endParaRPr lang="da-DK" sz="1300" baseline="0">
            <a:solidFill>
              <a:schemeClr val="tx1"/>
            </a:solidFill>
          </a:endParaRPr>
        </a:p>
        <a:p>
          <a:pPr algn="l"/>
          <a:r>
            <a:rPr lang="da-DK" sz="1300" baseline="0">
              <a:solidFill>
                <a:schemeClr val="tx1"/>
              </a:solidFill>
            </a:rPr>
            <a:t>Metoden har bevist sit værd via ca. 1.000 projekter, hvor der er opnået </a:t>
          </a:r>
          <a:r>
            <a:rPr lang="da-DK" sz="1300" b="1" baseline="0">
              <a:solidFill>
                <a:schemeClr val="tx1"/>
              </a:solidFill>
            </a:rPr>
            <a:t>succes med at forudsige budgetter og tidsplaner</a:t>
          </a:r>
          <a:r>
            <a:rPr lang="da-DK" sz="1300" baseline="0">
              <a:solidFill>
                <a:schemeClr val="tx1"/>
              </a:solidFill>
            </a:rPr>
            <a:t>. Fx bruger den Norske Stat metoden siden 2000, hvormed offentligt projekters succesrate er forbedret ganske betydeligt. </a:t>
          </a:r>
        </a:p>
        <a:p>
          <a:pPr algn="l"/>
          <a:endParaRPr lang="da-DK" sz="1300" baseline="0">
            <a:solidFill>
              <a:schemeClr val="tx1"/>
            </a:solidFill>
          </a:endParaRPr>
        </a:p>
        <a:p>
          <a:pPr algn="l"/>
          <a:r>
            <a:rPr lang="da-DK" sz="1300" b="1" baseline="0">
              <a:solidFill>
                <a:schemeClr val="tx1"/>
              </a:solidFill>
            </a:rPr>
            <a:t>Ca. 70% (2024) of Norske motorvejs-, tunnel- og store IT infrastruktur projekter gennemføres indenfor budget!</a:t>
          </a:r>
          <a:endParaRPr lang="da-DK" sz="13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208280</xdr:colOff>
      <xdr:row>87</xdr:row>
      <xdr:rowOff>0</xdr:rowOff>
    </xdr:from>
    <xdr:to>
      <xdr:col>8</xdr:col>
      <xdr:colOff>259080</xdr:colOff>
      <xdr:row>92</xdr:row>
      <xdr:rowOff>101600</xdr:rowOff>
    </xdr:to>
    <xdr:sp macro="" textlink="">
      <xdr:nvSpPr>
        <xdr:cNvPr id="35" name="Rectangle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208280" y="11988800"/>
          <a:ext cx="9301480" cy="96012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Garamond"/>
            </a:rPr>
            <a:t>Disclaimer:</a:t>
          </a:r>
        </a:p>
        <a:p>
          <a:pPr algn="l" rtl="0">
            <a:defRPr sz="1000"/>
          </a:pPr>
          <a:r>
            <a:rPr lang="en-GB" sz="1400" b="0" i="1" u="none" strike="noStrike" baseline="0">
              <a:solidFill>
                <a:srgbClr val="000000"/>
              </a:solidFill>
              <a:latin typeface="Garamond"/>
            </a:rPr>
            <a:t>Brugen af dette program er for egen risiko/mulighed og forfatteren kan under ingen omstændighed drages til ansvar for brugen af dette program på nogen som helst måde.</a:t>
          </a:r>
        </a:p>
        <a:p>
          <a:pPr algn="l" rtl="0">
            <a:defRPr sz="1000"/>
          </a:pPr>
          <a:r>
            <a:rPr lang="en-GB" sz="1400" b="0" i="1" u="none" strike="noStrike" baseline="0">
              <a:solidFill>
                <a:srgbClr val="000000"/>
              </a:solidFill>
              <a:latin typeface="Garamond"/>
            </a:rPr>
            <a:t>Man bør altid bruge en anden simple model og/eller tommelfingerregler til at checke resultaterne.</a:t>
          </a:r>
        </a:p>
      </xdr:txBody>
    </xdr:sp>
    <xdr:clientData/>
  </xdr:twoCellAnchor>
  <xdr:twoCellAnchor>
    <xdr:from>
      <xdr:col>5</xdr:col>
      <xdr:colOff>1072019</xdr:colOff>
      <xdr:row>17</xdr:row>
      <xdr:rowOff>55880</xdr:rowOff>
    </xdr:from>
    <xdr:to>
      <xdr:col>7</xdr:col>
      <xdr:colOff>2179320</xdr:colOff>
      <xdr:row>47</xdr:row>
      <xdr:rowOff>18027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GrpSpPr/>
      </xdr:nvGrpSpPr>
      <xdr:grpSpPr>
        <a:xfrm>
          <a:off x="4388534" y="2131423"/>
          <a:ext cx="4627014" cy="3358489"/>
          <a:chOff x="4557293" y="2550159"/>
          <a:chExt cx="4783963" cy="3701027"/>
        </a:xfrm>
      </xdr:grpSpPr>
      <xdr:grpSp>
        <xdr:nvGrpSpPr>
          <xdr:cNvPr id="37" name="Group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GrpSpPr/>
        </xdr:nvGrpSpPr>
        <xdr:grpSpPr>
          <a:xfrm>
            <a:off x="4557293" y="2550159"/>
            <a:ext cx="4783963" cy="3701027"/>
            <a:chOff x="1978746" y="1506551"/>
            <a:chExt cx="4783963" cy="3701027"/>
          </a:xfrm>
        </xdr:grpSpPr>
        <xdr:grpSp>
          <xdr:nvGrpSpPr>
            <xdr:cNvPr id="39" name="Group 38">
              <a:extLs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GrpSpPr/>
          </xdr:nvGrpSpPr>
          <xdr:grpSpPr>
            <a:xfrm>
              <a:off x="1978746" y="1506551"/>
              <a:ext cx="4414414" cy="3701027"/>
              <a:chOff x="1978746" y="1506551"/>
              <a:chExt cx="4414414" cy="3701027"/>
            </a:xfrm>
          </xdr:grpSpPr>
          <xdr:sp macro="" textlink="">
            <xdr:nvSpPr>
              <xdr:cNvPr id="41" name="Rectangle 40">
                <a:extLst>
                  <a:ext uri="{FF2B5EF4-FFF2-40B4-BE49-F238E27FC236}">
                    <a16:creationId xmlns:a16="http://schemas.microsoft.com/office/drawing/2014/main" id="{00000000-0008-0000-0000-000029000000}"/>
                  </a:ext>
                </a:extLst>
              </xdr:cNvPr>
              <xdr:cNvSpPr/>
            </xdr:nvSpPr>
            <xdr:spPr bwMode="auto">
              <a:xfrm>
                <a:off x="2921295" y="1916831"/>
                <a:ext cx="3471865" cy="1948317"/>
              </a:xfrm>
              <a:prstGeom prst="rect">
                <a:avLst/>
              </a:prstGeom>
              <a:solidFill>
                <a:srgbClr val="FF0000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txBody>
              <a:bodyPr vert="horz" wrap="square" lIns="91440" tIns="45720" rIns="91440" bIns="45720" numCol="1" rtlCol="0" anchor="ctr" anchorCtr="0" compatLnSpc="1">
                <a:prstTxWarp prst="textNoShape">
                  <a:avLst/>
                </a:prstTxWarp>
              </a:bodyPr>
              <a:lstStyle>
                <a:defPPr>
                  <a:defRPr lang="da-DK"/>
                </a:defPPr>
                <a:lvl1pPr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1pPr>
                <a:lvl2pPr marL="4572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2pPr>
                <a:lvl3pPr marL="9144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3pPr>
                <a:lvl4pPr marL="13716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4pPr>
                <a:lvl5pPr marL="18288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rtl="0" eaLnBrk="1" fontAlgn="base" latinLnBrk="0" hangingPunct="1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da-DK" sz="2400" b="1" i="0" kern="1200" baseline="0">
                    <a:solidFill>
                      <a:schemeClr val="bg1"/>
                    </a:solidFill>
                    <a:effectLst/>
                    <a:latin typeface="Times New Roman" pitchFamily="18" charset="0"/>
                    <a:ea typeface="+mn-ea"/>
                    <a:cs typeface="+mn-cs"/>
                  </a:rPr>
                  <a:t>Usikkerheder:</a:t>
                </a:r>
                <a:endParaRPr lang="da-DK">
                  <a:solidFill>
                    <a:schemeClr val="bg1"/>
                  </a:solidFill>
                  <a:effectLst/>
                </a:endParaRPr>
              </a:p>
              <a:p>
                <a:pPr marL="0" marR="0" indent="0" algn="ctr" defTabSz="914400" rtl="0" eaLnBrk="1" fontAlgn="base" latinLnBrk="0" hangingPunct="1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da-DK" sz="2400" b="1" i="0" u="none" strike="noStrike" cap="none" normalizeH="0" baseline="0">
                    <a:ln>
                      <a:noFill/>
                    </a:ln>
                    <a:solidFill>
                      <a:schemeClr val="bg1"/>
                    </a:solidFill>
                    <a:effectLst/>
                    <a:latin typeface="Times New Roman" pitchFamily="18" charset="0"/>
                  </a:rPr>
                  <a:t>OMGIVELSERNE</a:t>
                </a:r>
              </a:p>
            </xdr:txBody>
          </xdr:sp>
          <xdr:sp macro="" textlink="">
            <xdr:nvSpPr>
              <xdr:cNvPr id="42" name="Rectangle 41">
                <a:extLst>
                  <a:ext uri="{FF2B5EF4-FFF2-40B4-BE49-F238E27FC236}">
                    <a16:creationId xmlns:a16="http://schemas.microsoft.com/office/drawing/2014/main" id="{00000000-0008-0000-0000-00002A000000}"/>
                  </a:ext>
                </a:extLst>
              </xdr:cNvPr>
              <xdr:cNvSpPr/>
            </xdr:nvSpPr>
            <xdr:spPr bwMode="auto">
              <a:xfrm>
                <a:off x="2929314" y="4101597"/>
                <a:ext cx="3463846" cy="971683"/>
              </a:xfrm>
              <a:prstGeom prst="rect">
                <a:avLst/>
              </a:prstGeom>
              <a:solidFill>
                <a:srgbClr val="0000FF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txBody>
              <a:bodyPr vert="horz" wrap="square" lIns="91440" tIns="45720" rIns="91440" bIns="45720" numCol="1" rtlCol="0" anchor="ctr" anchorCtr="0" compatLnSpc="1">
                <a:prstTxWarp prst="textNoShape">
                  <a:avLst/>
                </a:prstTxWarp>
              </a:bodyPr>
              <a:lstStyle>
                <a:defPPr>
                  <a:defRPr lang="da-DK"/>
                </a:defPPr>
                <a:lvl1pPr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1pPr>
                <a:lvl2pPr marL="4572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2pPr>
                <a:lvl3pPr marL="9144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3pPr>
                <a:lvl4pPr marL="13716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4pPr>
                <a:lvl5pPr marL="18288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rtl="0" eaLnBrk="1" fontAlgn="base" latinLnBrk="0" hangingPunct="1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da-DK" sz="2000" b="1" kern="1200">
                    <a:solidFill>
                      <a:schemeClr val="bg1"/>
                    </a:solidFill>
                    <a:effectLst/>
                    <a:latin typeface="Times New Roman" pitchFamily="18" charset="0"/>
                    <a:ea typeface="+mn-ea"/>
                    <a:cs typeface="+mn-cs"/>
                  </a:rPr>
                  <a:t>Usikkerheder:</a:t>
                </a:r>
                <a:endParaRPr lang="da-DK" sz="2000">
                  <a:solidFill>
                    <a:schemeClr val="bg1"/>
                  </a:solidFill>
                  <a:effectLst/>
                </a:endParaRPr>
              </a:p>
              <a:p>
                <a:pPr marL="0" marR="0" indent="0" algn="ctr" defTabSz="914400" rtl="0" eaLnBrk="1" fontAlgn="base" latinLnBrk="0" hangingPunct="1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da-DK" sz="2000" b="1" i="0" u="none" strike="noStrike" cap="none" normalizeH="0" baseline="0">
                    <a:ln>
                      <a:noFill/>
                    </a:ln>
                    <a:solidFill>
                      <a:schemeClr val="bg1"/>
                    </a:solidFill>
                    <a:effectLst/>
                    <a:latin typeface="Times New Roman" pitchFamily="18" charset="0"/>
                  </a:rPr>
                  <a:t>Opgaver i projektet</a:t>
                </a:r>
              </a:p>
            </xdr:txBody>
          </xdr:sp>
          <xdr:sp macro="" textlink="">
            <xdr:nvSpPr>
              <xdr:cNvPr id="43" name="10-Point Star 42">
                <a:extLst>
                  <a:ext uri="{FF2B5EF4-FFF2-40B4-BE49-F238E27FC236}">
                    <a16:creationId xmlns:a16="http://schemas.microsoft.com/office/drawing/2014/main" id="{00000000-0008-0000-0000-00002B000000}"/>
                  </a:ext>
                </a:extLst>
              </xdr:cNvPr>
              <xdr:cNvSpPr/>
            </xdr:nvSpPr>
            <xdr:spPr bwMode="auto">
              <a:xfrm>
                <a:off x="2396216" y="2613040"/>
                <a:ext cx="953176" cy="810679"/>
              </a:xfrm>
              <a:prstGeom prst="star10">
                <a:avLst/>
              </a:prstGeom>
              <a:solidFill>
                <a:srgbClr val="FFFF00"/>
              </a:solidFill>
              <a:ln w="19050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txBody>
              <a:bodyPr vert="horz" wrap="square" lIns="36000" tIns="36000" rIns="36000" bIns="36000" numCol="1" rtlCol="0" anchor="ctr" anchorCtr="1" compatLnSpc="1">
                <a:prstTxWarp prst="textNoShape">
                  <a:avLst/>
                </a:prstTxWarp>
              </a:bodyPr>
              <a:lstStyle>
                <a:defPPr>
                  <a:defRPr lang="da-DK"/>
                </a:defPPr>
                <a:lvl1pPr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1pPr>
                <a:lvl2pPr marL="4572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2pPr>
                <a:lvl3pPr marL="9144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3pPr>
                <a:lvl4pPr marL="13716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4pPr>
                <a:lvl5pPr marL="18288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9pPr>
              </a:lstStyle>
              <a:p>
                <a:pPr marL="0" marR="0" indent="0" algn="ctr" defTabSz="914400" rtl="0" eaLnBrk="1" fontAlgn="base" latinLnBrk="0" hangingPunct="1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lang="da-DK" sz="2200" b="1"/>
                  <a:t>80%</a:t>
                </a:r>
                <a:endParaRPr kumimoji="0" lang="da-DK" sz="2200" b="1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</a:endParaRPr>
              </a:p>
            </xdr:txBody>
          </xdr:sp>
          <xdr:sp macro="" textlink="">
            <xdr:nvSpPr>
              <xdr:cNvPr id="44" name="10-Point Star 43">
                <a:extLst>
                  <a:ext uri="{FF2B5EF4-FFF2-40B4-BE49-F238E27FC236}">
                    <a16:creationId xmlns:a16="http://schemas.microsoft.com/office/drawing/2014/main" id="{00000000-0008-0000-0000-00002C000000}"/>
                  </a:ext>
                </a:extLst>
              </xdr:cNvPr>
              <xdr:cNvSpPr/>
            </xdr:nvSpPr>
            <xdr:spPr bwMode="auto">
              <a:xfrm>
                <a:off x="2459670" y="4223349"/>
                <a:ext cx="837145" cy="683935"/>
              </a:xfrm>
              <a:prstGeom prst="star10">
                <a:avLst/>
              </a:prstGeom>
              <a:solidFill>
                <a:schemeClr val="accent3">
                  <a:lumMod val="75000"/>
                </a:schemeClr>
              </a:solidFill>
              <a:ln w="19050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txBody>
              <a:bodyPr rot="0" spcFirstLastPara="0" vert="horz" wrap="square" lIns="36000" tIns="36000" rIns="36000" bIns="36000" numCol="1" spcCol="0" rtlCol="0" fromWordArt="0" anchor="ctr" anchorCtr="1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da-DK"/>
                </a:defPPr>
                <a:lvl1pPr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1pPr>
                <a:lvl2pPr marL="4572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2pPr>
                <a:lvl3pPr marL="9144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3pPr>
                <a:lvl4pPr marL="13716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4pPr>
                <a:lvl5pPr marL="18288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9pPr>
              </a:lstStyle>
              <a:p>
                <a:r>
                  <a:rPr lang="da-DK" sz="1800" b="1"/>
                  <a:t>20%</a:t>
                </a:r>
              </a:p>
            </xdr:txBody>
          </xdr:sp>
          <xdr:sp macro="" textlink="">
            <xdr:nvSpPr>
              <xdr:cNvPr id="45" name="TextBox 14">
                <a:extLst>
                  <a:ext uri="{FF2B5EF4-FFF2-40B4-BE49-F238E27FC236}">
                    <a16:creationId xmlns:a16="http://schemas.microsoft.com/office/drawing/2014/main" id="{00000000-0008-0000-0000-00002D000000}"/>
                  </a:ext>
                </a:extLst>
              </xdr:cNvPr>
              <xdr:cNvSpPr txBox="1"/>
            </xdr:nvSpPr>
            <xdr:spPr>
              <a:xfrm rot="16200000">
                <a:off x="317743" y="3167554"/>
                <a:ext cx="3701027" cy="379022"/>
              </a:xfrm>
              <a:prstGeom prst="rect">
                <a:avLst/>
              </a:prstGeom>
              <a:solidFill>
                <a:schemeClr val="bg1">
                  <a:lumMod val="95000"/>
                </a:schemeClr>
              </a:solidFill>
            </xdr:spPr>
            <xdr:txBody>
              <a:bodyPr wrap="square" rtlCol="0">
                <a:spAutoFit/>
              </a:bodyPr>
              <a:lstStyle>
                <a:defPPr>
                  <a:defRPr lang="da-DK"/>
                </a:defPPr>
                <a:lvl1pPr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1pPr>
                <a:lvl2pPr marL="4572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2pPr>
                <a:lvl3pPr marL="9144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3pPr>
                <a:lvl4pPr marL="13716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4pPr>
                <a:lvl5pPr marL="1828800" algn="ctr" rtl="0" fontAlgn="base">
                  <a:spcBef>
                    <a:spcPct val="0"/>
                  </a:spcBef>
                  <a:spcAft>
                    <a:spcPct val="0"/>
                  </a:spcAft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400" kern="120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+mn-cs"/>
                  </a:defRPr>
                </a:lvl9pPr>
              </a:lstStyle>
              <a:p>
                <a:r>
                  <a:rPr lang="da-DK" sz="1800" b="1" spc="70" baseline="0"/>
                  <a:t>USIKKERHEDER</a:t>
                </a:r>
              </a:p>
            </xdr:txBody>
          </xdr:sp>
        </xdr:grpSp>
        <xdr:sp macro="" textlink="">
          <xdr:nvSpPr>
            <xdr:cNvPr id="40" name="Rectangle 39">
              <a:extLst>
                <a:ext uri="{FF2B5EF4-FFF2-40B4-BE49-F238E27FC236}">
                  <a16:creationId xmlns:a16="http://schemas.microsoft.com/office/drawing/2014/main" id="{00000000-0008-0000-0000-000028000000}"/>
                </a:ext>
              </a:extLst>
            </xdr:cNvPr>
            <xdr:cNvSpPr/>
          </xdr:nvSpPr>
          <xdr:spPr bwMode="auto">
            <a:xfrm>
              <a:off x="6581097" y="1939326"/>
              <a:ext cx="181612" cy="3024336"/>
            </a:xfrm>
            <a:prstGeom prst="rect">
              <a:avLst/>
            </a:prstGeom>
            <a:noFill/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rtlCol="0" anchor="t" anchorCtr="0" compatLnSpc="1">
              <a:prstTxWarp prst="textNoShape">
                <a:avLst/>
              </a:prstTxWarp>
            </a:bodyPr>
            <a:lstStyle>
              <a:defPPr>
                <a:defRPr lang="da-DK"/>
              </a:defPPr>
              <a:lvl1pPr algn="ctr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ctr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ctr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ctr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ctr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marL="0" marR="0" indent="0" algn="ctr" defTabSz="914400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endParaRPr kumimoji="0" lang="da-DK" sz="24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Times New Roman" pitchFamily="18" charset="0"/>
              </a:endParaRPr>
            </a:p>
          </xdr:txBody>
        </xdr:sp>
      </xdr:grpSp>
      <xdr:sp macro="" textlink="">
        <xdr:nvSpPr>
          <xdr:cNvPr id="38" name="Rectangle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5471992" y="2600960"/>
            <a:ext cx="3487180" cy="34544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a-DK" sz="1200" i="1">
                <a:solidFill>
                  <a:schemeClr val="tx1"/>
                </a:solidFill>
              </a:rPr>
              <a:t>HOVEDÅRSAGEN</a:t>
            </a:r>
            <a:r>
              <a:rPr lang="da-DK" sz="1200" i="1" baseline="0">
                <a:solidFill>
                  <a:schemeClr val="tx1"/>
                </a:solidFill>
              </a:rPr>
              <a:t> TIL AT TING GÅR GALT</a:t>
            </a:r>
            <a:endParaRPr lang="da-DK" sz="1200" b="1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11</xdr:col>
      <xdr:colOff>157480</xdr:colOff>
      <xdr:row>5</xdr:row>
      <xdr:rowOff>137886</xdr:rowOff>
    </xdr:from>
    <xdr:to>
      <xdr:col>17</xdr:col>
      <xdr:colOff>574040</xdr:colOff>
      <xdr:row>18</xdr:row>
      <xdr:rowOff>5080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20565" y="1233714"/>
          <a:ext cx="4335418" cy="1122681"/>
        </a:xfrm>
        <a:prstGeom prst="rect">
          <a:avLst/>
        </a:prstGeom>
        <a:solidFill>
          <a:schemeClr val="bg1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200" b="1" i="1">
              <a:solidFill>
                <a:schemeClr val="tx1"/>
              </a:solidFill>
            </a:rPr>
            <a:t>Successiv Princippet - Håndbogen</a:t>
          </a:r>
          <a:r>
            <a:rPr lang="da-DK" sz="1200" b="1" i="0" baseline="0">
              <a:solidFill>
                <a:schemeClr val="tx1"/>
              </a:solidFill>
            </a:rPr>
            <a:t>.</a:t>
          </a:r>
        </a:p>
        <a:p>
          <a:pPr algn="l"/>
          <a:endParaRPr lang="da-DK" sz="1200" i="0" baseline="0">
            <a:solidFill>
              <a:schemeClr val="tx1"/>
            </a:solidFill>
          </a:endParaRPr>
        </a:p>
        <a:p>
          <a:pPr algn="l"/>
          <a:r>
            <a:rPr lang="da-DK" sz="1200" i="0" baseline="0">
              <a:solidFill>
                <a:schemeClr val="tx1"/>
              </a:solidFill>
            </a:rPr>
            <a:t>Bogen kan bestilles via mail@compilot.dk</a:t>
          </a:r>
        </a:p>
        <a:p>
          <a:pPr algn="l"/>
          <a:r>
            <a:rPr lang="da-DK" sz="1200" i="0" baseline="0">
              <a:solidFill>
                <a:schemeClr val="tx1"/>
              </a:solidFill>
            </a:rPr>
            <a:t>E-bog: Kan købes via Mokio.dk</a:t>
          </a:r>
        </a:p>
        <a:p>
          <a:pPr algn="l"/>
          <a:r>
            <a:rPr lang="da-DK" sz="1200" i="0" baseline="0">
              <a:solidFill>
                <a:schemeClr val="tx1"/>
              </a:solidFill>
            </a:rPr>
            <a:t>Se yderlig info på YouTube "Risk management &amp; EBIT Styring". </a:t>
          </a:r>
        </a:p>
        <a:p>
          <a:pPr algn="l"/>
          <a:endParaRPr lang="da-DK" sz="1200" i="0" baseline="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594359</xdr:colOff>
      <xdr:row>18</xdr:row>
      <xdr:rowOff>157480</xdr:rowOff>
    </xdr:from>
    <xdr:to>
      <xdr:col>14</xdr:col>
      <xdr:colOff>392856</xdr:colOff>
      <xdr:row>47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4975D4-40F4-4EA6-A008-B53DD77A1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45799" y="2524760"/>
          <a:ext cx="2236897" cy="3103880"/>
        </a:xfrm>
        <a:prstGeom prst="rect">
          <a:avLst/>
        </a:prstGeom>
      </xdr:spPr>
    </xdr:pic>
    <xdr:clientData/>
  </xdr:twoCellAnchor>
  <xdr:twoCellAnchor editAs="oneCell">
    <xdr:from>
      <xdr:col>14</xdr:col>
      <xdr:colOff>599441</xdr:colOff>
      <xdr:row>18</xdr:row>
      <xdr:rowOff>157480</xdr:rowOff>
    </xdr:from>
    <xdr:to>
      <xdr:col>18</xdr:col>
      <xdr:colOff>299721</xdr:colOff>
      <xdr:row>47</xdr:row>
      <xdr:rowOff>88960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5F6F21A-86FF-4CF5-9E73-4FE075923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289281" y="2524760"/>
          <a:ext cx="2138680" cy="30912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1416728</xdr:colOff>
      <xdr:row>2</xdr:row>
      <xdr:rowOff>81280</xdr:rowOff>
    </xdr:from>
    <xdr:to>
      <xdr:col>13</xdr:col>
      <xdr:colOff>3588259</xdr:colOff>
      <xdr:row>7</xdr:row>
      <xdr:rowOff>105161</xdr:rowOff>
    </xdr:to>
    <xdr:pic>
      <xdr:nvPicPr>
        <xdr:cNvPr id="2" name="Picture 1" descr="A group of people standing next to each other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381F91-1BFC-4EF2-BCA0-8659CAFD3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5368" y="624840"/>
          <a:ext cx="2171531" cy="1217681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13</xdr:col>
      <xdr:colOff>1680845</xdr:colOff>
      <xdr:row>64</xdr:row>
      <xdr:rowOff>142240</xdr:rowOff>
    </xdr:from>
    <xdr:to>
      <xdr:col>13</xdr:col>
      <xdr:colOff>3662045</xdr:colOff>
      <xdr:row>69</xdr:row>
      <xdr:rowOff>193040</xdr:rowOff>
    </xdr:to>
    <xdr:sp macro="" textlink="">
      <xdr:nvSpPr>
        <xdr:cNvPr id="1031" name="Rectangle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>
          <a:spLocks noChangeArrowheads="1"/>
        </xdr:cNvSpPr>
      </xdr:nvSpPr>
      <xdr:spPr bwMode="auto">
        <a:xfrm>
          <a:off x="11119485" y="13111480"/>
          <a:ext cx="1981200" cy="10058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Garamond"/>
            </a:rPr>
            <a:t>Note:</a:t>
          </a:r>
          <a:endParaRPr lang="en-GB" sz="1200" b="0" i="0" u="none" strike="noStrike" baseline="0">
            <a:solidFill>
              <a:srgbClr val="000000"/>
            </a:solidFill>
            <a:latin typeface="Garamond"/>
          </a:endParaRP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Garamond"/>
            </a:rPr>
            <a:t>+/- 1,0  * Std equals 68,3 % C.I.</a:t>
          </a: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Garamond"/>
            </a:rPr>
            <a:t>+/- 1,44* Std equals 85,0 % C.I.</a:t>
          </a: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Garamond"/>
            </a:rPr>
            <a:t>+/- 2,0  * Std equals 95,5 % C.I.</a:t>
          </a: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Garamond"/>
            </a:rPr>
            <a:t>+/- 2,5  * Std equals 98,8 % C.I.</a:t>
          </a: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Garamond"/>
            </a:rPr>
            <a:t>+/- 3,0  * Std equals 99,7 % C.I.</a:t>
          </a:r>
        </a:p>
      </xdr:txBody>
    </xdr:sp>
    <xdr:clientData/>
  </xdr:twoCellAnchor>
  <xdr:twoCellAnchor>
    <xdr:from>
      <xdr:col>57</xdr:col>
      <xdr:colOff>71120</xdr:colOff>
      <xdr:row>24</xdr:row>
      <xdr:rowOff>106680</xdr:rowOff>
    </xdr:from>
    <xdr:to>
      <xdr:col>64</xdr:col>
      <xdr:colOff>274320</xdr:colOff>
      <xdr:row>28</xdr:row>
      <xdr:rowOff>76200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18430240" y="5796280"/>
          <a:ext cx="4470400" cy="90932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/>
            <a:t>Note</a:t>
          </a:r>
          <a:r>
            <a:rPr lang="da-DK" sz="1100"/>
            <a:t>:</a:t>
          </a:r>
          <a:endParaRPr lang="da-DK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Vælg</a:t>
          </a:r>
          <a:r>
            <a:rPr lang="da-DK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farvede P% elementer og nedbryd dem i 2-4 delelementer.</a:t>
          </a:r>
        </a:p>
        <a:p>
          <a:endParaRPr lang="da-DK" sz="1100" b="0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Lav herefter nye estimeringer - kun af disse.</a:t>
          </a:r>
          <a:endParaRPr lang="da-DK" sz="1100"/>
        </a:p>
      </xdr:txBody>
    </xdr:sp>
    <xdr:clientData/>
  </xdr:twoCellAnchor>
  <xdr:twoCellAnchor editAs="oneCell">
    <xdr:from>
      <xdr:col>0</xdr:col>
      <xdr:colOff>228600</xdr:colOff>
      <xdr:row>123</xdr:row>
      <xdr:rowOff>142240</xdr:rowOff>
    </xdr:from>
    <xdr:to>
      <xdr:col>10</xdr:col>
      <xdr:colOff>680720</xdr:colOff>
      <xdr:row>133</xdr:row>
      <xdr:rowOff>126998</xdr:rowOff>
    </xdr:to>
    <xdr:sp macro="" textlink="">
      <xdr:nvSpPr>
        <xdr:cNvPr id="23" name="Rectangle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228600" y="19664680"/>
          <a:ext cx="8117840" cy="155956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Garamond"/>
            </a:rPr>
            <a:t>ET EFFEKTIVT VÆRKTØJ: FUTURA</a:t>
          </a:r>
        </a:p>
        <a:p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Garamond"/>
            </a:rPr>
            <a:t>Programmet er udviklet over mere end 20 år, og understøtter hele Successiv Processen, herunder sikrer en effektiv estimeringsproces og efterfølgende rapportering fra analyserne. Programmet bruges til estimering af tunnel- og motorvejsprojekter og andre store komplekse projekter i det offentlige hhv. i den private sektor.</a:t>
          </a:r>
        </a:p>
        <a:p>
          <a:pPr algn="l" rtl="0">
            <a:defRPr sz="1000"/>
          </a:pPr>
          <a:endParaRPr lang="en-GB" sz="1400" b="0" i="0" u="none" strike="noStrike" baseline="0">
            <a:solidFill>
              <a:srgbClr val="000000"/>
            </a:solidFill>
            <a:latin typeface="Garamond"/>
          </a:endParaRPr>
        </a:p>
        <a:p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Garamond"/>
            </a:rPr>
            <a:t>COMPILOT ApS er forhandler af FUTURA. Ring og hør nærmere på M +45 2629 8240 og få en gratis demonstration af programmet og fri licens i 3 måneder. </a:t>
          </a:r>
        </a:p>
      </xdr:txBody>
    </xdr:sp>
    <xdr:clientData/>
  </xdr:twoCellAnchor>
  <xdr:twoCellAnchor editAs="oneCell">
    <xdr:from>
      <xdr:col>0</xdr:col>
      <xdr:colOff>254000</xdr:colOff>
      <xdr:row>136</xdr:row>
      <xdr:rowOff>35560</xdr:rowOff>
    </xdr:from>
    <xdr:to>
      <xdr:col>10</xdr:col>
      <xdr:colOff>670560</xdr:colOff>
      <xdr:row>142</xdr:row>
      <xdr:rowOff>35558</xdr:rowOff>
    </xdr:to>
    <xdr:sp macro="" textlink="">
      <xdr:nvSpPr>
        <xdr:cNvPr id="24" name="Rectangle 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rrowheads="1"/>
        </xdr:cNvSpPr>
      </xdr:nvSpPr>
      <xdr:spPr bwMode="auto">
        <a:xfrm>
          <a:off x="254000" y="17084040"/>
          <a:ext cx="8082280" cy="94488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Garamond"/>
            </a:rPr>
            <a:t>Disclaimer:</a:t>
          </a:r>
        </a:p>
        <a:p>
          <a:pPr algn="l" rtl="0">
            <a:defRPr sz="1000"/>
          </a:pPr>
          <a:r>
            <a:rPr lang="en-GB" sz="1400" b="0" i="1" u="none" strike="noStrike" baseline="0">
              <a:solidFill>
                <a:srgbClr val="000000"/>
              </a:solidFill>
              <a:latin typeface="Garamond"/>
            </a:rPr>
            <a:t>Brugen af dette program er for egen risiko/mulighed og forfatteren kan under ingen omstændighed drages til ansvar for brugen af dette program på nogen som helst måde.</a:t>
          </a:r>
        </a:p>
        <a:p>
          <a:pPr algn="l" rtl="0">
            <a:defRPr sz="1000"/>
          </a:pPr>
          <a:r>
            <a:rPr lang="en-GB" sz="1400" b="0" i="1" u="none" strike="noStrike" baseline="0">
              <a:solidFill>
                <a:srgbClr val="000000"/>
              </a:solidFill>
              <a:latin typeface="Garamond"/>
            </a:rPr>
            <a:t>Man bør altid bruge en anden simple model og/eller tommelfingerregler til at checke resultaterne.</a:t>
          </a:r>
        </a:p>
      </xdr:txBody>
    </xdr:sp>
    <xdr:clientData/>
  </xdr:twoCellAnchor>
  <xdr:twoCellAnchor editAs="oneCell">
    <xdr:from>
      <xdr:col>13</xdr:col>
      <xdr:colOff>411480</xdr:colOff>
      <xdr:row>71</xdr:row>
      <xdr:rowOff>106680</xdr:rowOff>
    </xdr:from>
    <xdr:to>
      <xdr:col>14</xdr:col>
      <xdr:colOff>504825</xdr:colOff>
      <xdr:row>75</xdr:row>
      <xdr:rowOff>172720</xdr:rowOff>
    </xdr:to>
    <xdr:sp macro="" textlink="">
      <xdr:nvSpPr>
        <xdr:cNvPr id="25" name="Rectangle 2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9850120" y="11013440"/>
          <a:ext cx="3959225" cy="8686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Garamond"/>
            </a:rPr>
            <a:t>Grund formlerne </a:t>
          </a:r>
          <a:r>
            <a:rPr lang="en-GB" sz="1200" b="0" i="0" u="none" strike="noStrike" baseline="0">
              <a:solidFill>
                <a:srgbClr val="000000"/>
              </a:solidFill>
              <a:latin typeface="Garamond"/>
            </a:rPr>
            <a:t>(Task 'i')</a:t>
          </a:r>
          <a:r>
            <a:rPr lang="en-GB" sz="1200" b="1" i="0" u="none" strike="noStrike" baseline="0">
              <a:solidFill>
                <a:srgbClr val="000000"/>
              </a:solidFill>
              <a:latin typeface="Garamond"/>
            </a:rPr>
            <a:t>:</a:t>
          </a:r>
          <a:endParaRPr lang="en-GB" sz="1200" b="0" i="0" u="none" strike="noStrike" baseline="0">
            <a:solidFill>
              <a:srgbClr val="000000"/>
            </a:solidFill>
            <a:latin typeface="Garamond"/>
          </a:endParaRP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Garamond"/>
            </a:rPr>
            <a:t>Middel[i]  = (Min[i] + 3*M.L.[i] + Max[i])/5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Garamond"/>
            </a:rPr>
            <a:t>Std[i]        = (Max[i] - Min[i])/5;   Var[i] = Stdv[i] * Stdv[i]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Garamond"/>
            </a:rPr>
            <a:t>Prio[i]      = Var[i]/∑(Var[i]);       P[i]% = Prio[i]*100/∑(P[i])</a:t>
          </a:r>
        </a:p>
      </xdr:txBody>
    </xdr:sp>
    <xdr:clientData/>
  </xdr:twoCellAnchor>
  <xdr:twoCellAnchor editAs="oneCell">
    <xdr:from>
      <xdr:col>0</xdr:col>
      <xdr:colOff>279400</xdr:colOff>
      <xdr:row>153</xdr:row>
      <xdr:rowOff>40640</xdr:rowOff>
    </xdr:from>
    <xdr:to>
      <xdr:col>10</xdr:col>
      <xdr:colOff>655320</xdr:colOff>
      <xdr:row>160</xdr:row>
      <xdr:rowOff>101600</xdr:rowOff>
    </xdr:to>
    <xdr:sp macro="" textlink="">
      <xdr:nvSpPr>
        <xdr:cNvPr id="26" name="Rectangle 3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Arrowheads="1"/>
        </xdr:cNvSpPr>
      </xdr:nvSpPr>
      <xdr:spPr bwMode="auto">
        <a:xfrm>
          <a:off x="279400" y="26588720"/>
          <a:ext cx="8041640" cy="11379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Garamond"/>
            </a:rPr>
            <a:t>Grundantagelse for beregningerne:</a:t>
          </a:r>
        </a:p>
        <a:p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Garamond"/>
            </a:rPr>
            <a:t>Alle overordnede faktorer og opgaver/poster er indbyrdes uafhængige af hinanden.</a:t>
          </a:r>
        </a:p>
        <a:p>
          <a:pPr algn="l" rtl="0">
            <a:defRPr sz="1000"/>
          </a:pPr>
          <a:endParaRPr lang="en-GB" sz="1400" b="0" i="0" u="none" strike="noStrike" baseline="0">
            <a:solidFill>
              <a:srgbClr val="000000"/>
            </a:solidFill>
            <a:latin typeface="Garamond"/>
          </a:endParaRPr>
        </a:p>
        <a:p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Garamond"/>
            </a:rPr>
            <a:t>Hvis dette ikke kan opfyldes, kan man i nogen grad kompensere for dette ved at tilføje en estimering i Overordnet Faktorer.</a:t>
          </a:r>
        </a:p>
      </xdr:txBody>
    </xdr:sp>
    <xdr:clientData/>
  </xdr:twoCellAnchor>
  <xdr:twoCellAnchor editAs="oneCell">
    <xdr:from>
      <xdr:col>13</xdr:col>
      <xdr:colOff>10160</xdr:colOff>
      <xdr:row>2</xdr:row>
      <xdr:rowOff>187960</xdr:rowOff>
    </xdr:from>
    <xdr:to>
      <xdr:col>13</xdr:col>
      <xdr:colOff>1238653</xdr:colOff>
      <xdr:row>6</xdr:row>
      <xdr:rowOff>86360</xdr:rowOff>
    </xdr:to>
    <xdr:pic>
      <xdr:nvPicPr>
        <xdr:cNvPr id="15" name="Picture 14" descr="A yellow triangle with green and red lights&#10;&#10;Description automatically generated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4400" y="731520"/>
          <a:ext cx="1228493" cy="889000"/>
        </a:xfrm>
        <a:prstGeom prst="rect">
          <a:avLst/>
        </a:prstGeom>
      </xdr:spPr>
    </xdr:pic>
    <xdr:clientData/>
  </xdr:twoCellAnchor>
  <xdr:twoCellAnchor editAs="oneCell">
    <xdr:from>
      <xdr:col>15</xdr:col>
      <xdr:colOff>147320</xdr:colOff>
      <xdr:row>12</xdr:row>
      <xdr:rowOff>103053</xdr:rowOff>
    </xdr:from>
    <xdr:to>
      <xdr:col>75</xdr:col>
      <xdr:colOff>445003</xdr:colOff>
      <xdr:row>22</xdr:row>
      <xdr:rowOff>234245</xdr:rowOff>
    </xdr:to>
    <xdr:pic>
      <xdr:nvPicPr>
        <xdr:cNvPr id="3" name="Picture 2" descr="A screenshot of a computer screen&#10;&#10;Description automatically generated">
          <a:extLst>
            <a:ext uri="{FF2B5EF4-FFF2-40B4-BE49-F238E27FC236}">
              <a16:creationId xmlns:a16="http://schemas.microsoft.com/office/drawing/2014/main" id="{8D57AF76-70DE-4E3C-89DB-97368BDC5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545492" y="2853510"/>
          <a:ext cx="6168711" cy="2301078"/>
        </a:xfrm>
        <a:prstGeom prst="rect">
          <a:avLst/>
        </a:prstGeom>
        <a:ln>
          <a:solidFill>
            <a:srgbClr val="000000"/>
          </a:solidFill>
        </a:ln>
      </xdr:spPr>
    </xdr:pic>
    <xdr:clientData/>
  </xdr:twoCellAnchor>
  <xdr:twoCellAnchor>
    <xdr:from>
      <xdr:col>15</xdr:col>
      <xdr:colOff>212632</xdr:colOff>
      <xdr:row>7</xdr:row>
      <xdr:rowOff>169817</xdr:rowOff>
    </xdr:from>
    <xdr:to>
      <xdr:col>75</xdr:col>
      <xdr:colOff>326570</xdr:colOff>
      <xdr:row>11</xdr:row>
      <xdr:rowOff>123370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C6448D2-F925-4AB0-94B3-D2774B47A457}"/>
            </a:ext>
          </a:extLst>
        </xdr:cNvPr>
        <xdr:cNvSpPr/>
      </xdr:nvSpPr>
      <xdr:spPr>
        <a:xfrm>
          <a:off x="14610804" y="1904274"/>
          <a:ext cx="5984966" cy="773611"/>
        </a:xfrm>
        <a:prstGeom prst="rect">
          <a:avLst/>
        </a:prstGeom>
        <a:solidFill>
          <a:schemeClr val="bg1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200" b="1" i="1">
              <a:solidFill>
                <a:schemeClr val="tx1"/>
              </a:solidFill>
            </a:rPr>
            <a:t>EKSEMPEL</a:t>
          </a:r>
        </a:p>
        <a:p>
          <a:pPr algn="l"/>
          <a:r>
            <a:rPr lang="da-DK" sz="1200" i="0" baseline="0">
              <a:solidFill>
                <a:schemeClr val="tx1"/>
              </a:solidFill>
            </a:rPr>
            <a:t>Dette er en simpel model, som viser hvordan, man beregner usikkerheder og leverancer m.v.</a:t>
          </a:r>
        </a:p>
        <a:p>
          <a:pPr algn="l"/>
          <a:r>
            <a:rPr lang="da-DK" sz="1200" i="0" baseline="0">
              <a:solidFill>
                <a:schemeClr val="tx1"/>
              </a:solidFill>
            </a:rPr>
            <a:t>Der foretages flere loops, hvor man nedbryder de 2-3 største usikkerheder.</a:t>
          </a:r>
        </a:p>
      </xdr:txBody>
    </xdr:sp>
    <xdr:clientData/>
  </xdr:twoCellAnchor>
  <xdr:absoluteAnchor>
    <xdr:pos x="10508343" y="15428686"/>
    <xdr:ext cx="8849917" cy="4393018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A25F768-C4ED-4F40-8A13-423F005E61B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0.46498</cdr:x>
      <cdr:y>0.90821</cdr:y>
    </cdr:from>
    <cdr:to>
      <cdr:x>0.65558</cdr:x>
      <cdr:y>0.98459</cdr:y>
    </cdr:to>
    <cdr:sp macro="" textlink="Data!$E$189">
      <cdr:nvSpPr>
        <cdr:cNvPr id="3" name="TextBox 2"/>
        <cdr:cNvSpPr txBox="1"/>
      </cdr:nvSpPr>
      <cdr:spPr>
        <a:xfrm xmlns:a="http://schemas.openxmlformats.org/drawingml/2006/main">
          <a:off x="4282587" y="5134002"/>
          <a:ext cx="1755435" cy="4317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1B181E2-F431-418C-873F-FD2F30BEFB41}" type="TxLink">
            <a:rPr lang="en-US" sz="1000" b="1" i="0" u="none" strike="noStrike">
              <a:solidFill>
                <a:srgbClr val="000000"/>
              </a:solidFill>
              <a:latin typeface="Garamond"/>
            </a:rPr>
            <a:pPr/>
            <a:t>P(GU'ere):         75%
P(Opgaver):     25%</a:t>
          </a:fld>
          <a:endParaRPr lang="da-DK" sz="800" b="1"/>
        </a:p>
      </cdr:txBody>
    </cdr:sp>
  </cdr:relSizeAnchor>
  <cdr:relSizeAnchor xmlns:cdr="http://schemas.openxmlformats.org/drawingml/2006/chartDrawing">
    <cdr:from>
      <cdr:x>0</cdr:x>
      <cdr:y>0.94867</cdr:y>
    </cdr:from>
    <cdr:to>
      <cdr:x>0.38883</cdr:x>
      <cdr:y>0.98811</cdr:y>
    </cdr:to>
    <cdr:sp macro="" textlink="Data!$E$191">
      <cdr:nvSpPr>
        <cdr:cNvPr id="4" name="TextBox 1"/>
        <cdr:cNvSpPr txBox="1"/>
      </cdr:nvSpPr>
      <cdr:spPr>
        <a:xfrm xmlns:a="http://schemas.openxmlformats.org/drawingml/2006/main">
          <a:off x="0" y="5351670"/>
          <a:ext cx="3576984" cy="222526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8D37A5BF-1CE0-4A0A-A3F0-BA52EAF167DC}" type="TxLink">
            <a:rPr lang="en-US" sz="800" b="0" i="0" u="none" strike="noStrike">
              <a:solidFill>
                <a:srgbClr val="000000"/>
              </a:solidFill>
              <a:latin typeface="+mn-lt"/>
              <a:cs typeface="Arial"/>
            </a:rPr>
            <a:pPr algn="l"/>
            <a:t>tidlig-kvalitetssikring-byggeprojekt_2024-11-19b.xlsx</a:t>
          </a:fld>
          <a:endParaRPr lang="da-DK" sz="800" b="1">
            <a:latin typeface="+mn-lt"/>
          </a:endParaRPr>
        </a:p>
      </cdr:txBody>
    </cdr:sp>
  </cdr:relSizeAnchor>
  <cdr:relSizeAnchor xmlns:cdr="http://schemas.openxmlformats.org/drawingml/2006/chartDrawing">
    <cdr:from>
      <cdr:x>0.62694</cdr:x>
      <cdr:y>0.04788</cdr:y>
    </cdr:from>
    <cdr:to>
      <cdr:x>0.98652</cdr:x>
      <cdr:y>0.21304</cdr:y>
    </cdr:to>
    <cdr:sp macro="" textlink="Data!$E$190">
      <cdr:nvSpPr>
        <cdr:cNvPr id="5" name="TextBox 1"/>
        <cdr:cNvSpPr txBox="1"/>
      </cdr:nvSpPr>
      <cdr:spPr>
        <a:xfrm xmlns:a="http://schemas.openxmlformats.org/drawingml/2006/main">
          <a:off x="5774255" y="270652"/>
          <a:ext cx="3311826" cy="9336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44495B1-312E-4897-8C21-D875DCA4DA0D}" type="TxLink">
            <a:rPr lang="en-US" sz="2000" b="1" i="0" u="none" strike="noStrike">
              <a:solidFill>
                <a:srgbClr val="0000FF"/>
              </a:solidFill>
              <a:latin typeface="+mn-lt"/>
              <a:cs typeface="Arial"/>
            </a:rPr>
            <a:pPr algn="r"/>
            <a:t>Byggeprojekt - Idé oplæg.</a:t>
          </a:fld>
          <a:endParaRPr lang="da-DK" sz="2000" b="1">
            <a:solidFill>
              <a:srgbClr val="0000FF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0.76854</cdr:x>
      <cdr:y>0.00898</cdr:y>
    </cdr:from>
    <cdr:to>
      <cdr:x>1</cdr:x>
      <cdr:y>0.04842</cdr:y>
    </cdr:to>
    <cdr:sp macro="" textlink="Data!$A$2">
      <cdr:nvSpPr>
        <cdr:cNvPr id="6" name="TextBox 1"/>
        <cdr:cNvSpPr txBox="1"/>
      </cdr:nvSpPr>
      <cdr:spPr>
        <a:xfrm xmlns:a="http://schemas.openxmlformats.org/drawingml/2006/main">
          <a:off x="7078492" y="50801"/>
          <a:ext cx="2131769" cy="223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1637113-5A15-4705-A143-9124EA56AF69}" type="TxLink">
            <a:rPr lang="en-US" sz="600" b="0" i="0" u="none" strike="noStrike">
              <a:solidFill>
                <a:srgbClr val="000000"/>
              </a:solidFill>
              <a:latin typeface="+mn-lt"/>
              <a:cs typeface="Arial"/>
            </a:rPr>
            <a:pPr algn="r"/>
            <a:t>Rev. 2024-11-19a</a:t>
          </a:fld>
          <a:endParaRPr lang="da-DK" sz="600" b="1">
            <a:latin typeface="+mn-lt"/>
          </a:endParaRPr>
        </a:p>
      </cdr:txBody>
    </cdr:sp>
  </cdr:relSizeAnchor>
  <cdr:relSizeAnchor xmlns:cdr="http://schemas.openxmlformats.org/drawingml/2006/chartDrawing">
    <cdr:from>
      <cdr:x>0.63677</cdr:x>
      <cdr:y>0.87282</cdr:y>
    </cdr:from>
    <cdr:to>
      <cdr:x>0.98209</cdr:x>
      <cdr:y>0.93621</cdr:y>
    </cdr:to>
    <cdr:sp macro="" textlink="Data!$E$193">
      <cdr:nvSpPr>
        <cdr:cNvPr id="7" name="TextBox 1"/>
        <cdr:cNvSpPr txBox="1"/>
      </cdr:nvSpPr>
      <cdr:spPr>
        <a:xfrm xmlns:a="http://schemas.openxmlformats.org/drawingml/2006/main">
          <a:off x="5635358" y="3834299"/>
          <a:ext cx="3056054" cy="2784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AFD44CF2-664C-4DB7-BAE4-2FCEA77D7A33}" type="TxLink">
            <a:rPr lang="en-US" sz="1200" b="1" i="0" u="none" strike="noStrike">
              <a:solidFill>
                <a:srgbClr val="0000FF"/>
              </a:solidFill>
              <a:latin typeface="+mn-lt"/>
              <a:cs typeface="Arial"/>
            </a:rPr>
            <a:pPr/>
            <a:t>RESULTAT: 
Min= 351 Middel= 503 Max= 656 Mill. &amp; GU's = 120,5</a:t>
          </a:fld>
          <a:endParaRPr lang="da-DK" sz="1200" b="1">
            <a:solidFill>
              <a:srgbClr val="0000FF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0.01856</cdr:x>
      <cdr:y>0.02657</cdr:y>
    </cdr:from>
    <cdr:to>
      <cdr:x>0.13499</cdr:x>
      <cdr:y>0.09754</cdr:y>
    </cdr:to>
    <cdr:pic>
      <cdr:nvPicPr>
        <cdr:cNvPr id="8" name="Picture 7" descr="A black background with blue text&#10;&#10;Description automatically generated">
          <a:extLst xmlns:a="http://schemas.openxmlformats.org/drawingml/2006/main">
            <a:ext uri="{FF2B5EF4-FFF2-40B4-BE49-F238E27FC236}">
              <a16:creationId xmlns:a16="http://schemas.microsoft.com/office/drawing/2014/main" id="{5D09074F-3BCC-DE0F-25BF-B268B890A85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87929" y="161312"/>
          <a:ext cx="1178917" cy="430896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27214</xdr:colOff>
      <xdr:row>2</xdr:row>
      <xdr:rowOff>135630</xdr:rowOff>
    </xdr:from>
    <xdr:to>
      <xdr:col>15</xdr:col>
      <xdr:colOff>81643</xdr:colOff>
      <xdr:row>38</xdr:row>
      <xdr:rowOff>48301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BEB714-47AA-1955-90F6-B75834A9A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0" y="451316"/>
          <a:ext cx="8545286" cy="5595014"/>
        </a:xfrm>
        <a:prstGeom prst="rect">
          <a:avLst/>
        </a:prstGeom>
      </xdr:spPr>
    </xdr:pic>
    <xdr:clientData/>
  </xdr:twoCellAnchor>
  <xdr:oneCellAnchor>
    <xdr:from>
      <xdr:col>8</xdr:col>
      <xdr:colOff>631959</xdr:colOff>
      <xdr:row>11</xdr:row>
      <xdr:rowOff>71259</xdr:rowOff>
    </xdr:from>
    <xdr:ext cx="2703945" cy="1125501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1D8B3F7F-19A4-9396-7073-46B0B242F425}"/>
            </a:ext>
          </a:extLst>
        </xdr:cNvPr>
        <xdr:cNvSpPr/>
      </xdr:nvSpPr>
      <xdr:spPr>
        <a:xfrm rot="947975">
          <a:off x="5857102" y="1807530"/>
          <a:ext cx="2703945" cy="112550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GB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Forhør nærmere </a:t>
          </a:r>
        </a:p>
        <a:p>
          <a:pPr algn="ctr"/>
          <a:r>
            <a:rPr lang="en-GB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for</a:t>
          </a:r>
          <a:r>
            <a:rPr lang="en-GB" sz="22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den fulde version:</a:t>
          </a:r>
        </a:p>
        <a:p>
          <a:pPr algn="ctr"/>
          <a:r>
            <a:rPr lang="en-GB" sz="22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Mail@compilot.dk</a:t>
          </a:r>
          <a:endParaRPr lang="en-GB" sz="22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7390" cy="607126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0.00645</cdr:x>
      <cdr:y>0.9515</cdr:y>
    </cdr:from>
    <cdr:to>
      <cdr:x>0.39232</cdr:x>
      <cdr:y>0.98821</cdr:y>
    </cdr:to>
    <cdr:sp macro="" textlink="Data!$E$191">
      <cdr:nvSpPr>
        <cdr:cNvPr id="2" name="TextBox 1"/>
        <cdr:cNvSpPr txBox="1"/>
      </cdr:nvSpPr>
      <cdr:spPr>
        <a:xfrm xmlns:a="http://schemas.openxmlformats.org/drawingml/2006/main">
          <a:off x="59872" y="5765800"/>
          <a:ext cx="3584446" cy="22246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146231B1-C89F-4F34-A2F6-9F97CE6D5C93}" type="TxLink">
            <a:rPr lang="en-US" sz="800" b="0" i="0" u="none" strike="noStrike">
              <a:solidFill>
                <a:srgbClr val="000000"/>
              </a:solidFill>
              <a:latin typeface="Arial"/>
              <a:cs typeface="Arial"/>
            </a:rPr>
            <a:pPr algn="l"/>
            <a:t>tidlig-kvalitetssikring-byggeprojekt_2024-11-19b.xlsx</a:t>
          </a:fld>
          <a:endParaRPr lang="da-DK" sz="800" b="1"/>
        </a:p>
      </cdr:txBody>
    </cdr:sp>
  </cdr:relSizeAnchor>
  <cdr:relSizeAnchor xmlns:cdr="http://schemas.openxmlformats.org/drawingml/2006/chartDrawing">
    <cdr:from>
      <cdr:x>0.76186</cdr:x>
      <cdr:y>0.84003</cdr:y>
    </cdr:from>
    <cdr:to>
      <cdr:x>0.97287</cdr:x>
      <cdr:y>0.92031</cdr:y>
    </cdr:to>
    <cdr:sp macro="" textlink="Data!$E$189">
      <cdr:nvSpPr>
        <cdr:cNvPr id="4" name="TextBox 1"/>
        <cdr:cNvSpPr txBox="1"/>
      </cdr:nvSpPr>
      <cdr:spPr>
        <a:xfrm xmlns:a="http://schemas.openxmlformats.org/drawingml/2006/main">
          <a:off x="7080598" y="5099247"/>
          <a:ext cx="1961091" cy="48732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>
          <a:solidFill>
            <a:srgbClr val="FF000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E4592517-05E4-446C-8D9F-DA250F5A88BB}" type="TxLink">
            <a:rPr lang="en-US" sz="1200" b="1" i="0" u="none" strike="noStrike">
              <a:solidFill>
                <a:srgbClr val="000000"/>
              </a:solidFill>
              <a:latin typeface="+mn-lt"/>
            </a:rPr>
            <a:pPr/>
            <a:t>P(GU'ere):         75%
P(Opgaver):     25%</a:t>
          </a:fld>
          <a:endParaRPr lang="da-DK" sz="1200" b="1">
            <a:latin typeface="+mn-lt"/>
          </a:endParaRPr>
        </a:p>
      </cdr:txBody>
    </cdr:sp>
  </cdr:relSizeAnchor>
  <cdr:relSizeAnchor xmlns:cdr="http://schemas.openxmlformats.org/drawingml/2006/chartDrawing">
    <cdr:from>
      <cdr:x>0.31586</cdr:x>
      <cdr:y>0.03421</cdr:y>
    </cdr:from>
    <cdr:to>
      <cdr:x>0.98895</cdr:x>
      <cdr:y>0.1348</cdr:y>
    </cdr:to>
    <cdr:sp macro="" textlink="Data!$E$190">
      <cdr:nvSpPr>
        <cdr:cNvPr id="5" name="TextBox 1"/>
        <cdr:cNvSpPr txBox="1"/>
      </cdr:nvSpPr>
      <cdr:spPr>
        <a:xfrm xmlns:a="http://schemas.openxmlformats.org/drawingml/2006/main">
          <a:off x="2938494" y="207867"/>
          <a:ext cx="6261858" cy="6112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8B80F78-DFAD-4EB1-9066-0F25B23F7858}" type="TxLink">
            <a:rPr lang="en-US" sz="2000" b="1" i="0" u="none" strike="noStrike">
              <a:solidFill>
                <a:schemeClr val="tx1"/>
              </a:solidFill>
              <a:latin typeface="+mn-lt"/>
              <a:cs typeface="Arial"/>
            </a:rPr>
            <a:pPr algn="r"/>
            <a:t>Byggeprojekt - Idé oplæg.</a:t>
          </a:fld>
          <a:endParaRPr lang="da-DK" sz="2000" b="1">
            <a:solidFill>
              <a:schemeClr val="tx1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0.7703</cdr:x>
      <cdr:y>0.0024</cdr:y>
    </cdr:from>
    <cdr:to>
      <cdr:x>1</cdr:x>
      <cdr:y>0.03911</cdr:y>
    </cdr:to>
    <cdr:sp macro="" textlink="Data!$A$2">
      <cdr:nvSpPr>
        <cdr:cNvPr id="6" name="TextBox 1"/>
        <cdr:cNvSpPr txBox="1"/>
      </cdr:nvSpPr>
      <cdr:spPr>
        <a:xfrm xmlns:a="http://schemas.openxmlformats.org/drawingml/2006/main">
          <a:off x="7155419" y="14514"/>
          <a:ext cx="2133724" cy="2224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3E0F2DD-2158-4B89-A5E8-00B73C4C18B4}" type="TxLink">
            <a:rPr lang="en-US" sz="800" b="0" i="0" u="none" strike="noStrike">
              <a:solidFill>
                <a:srgbClr val="000000"/>
              </a:solidFill>
              <a:latin typeface="Arial"/>
              <a:cs typeface="Arial"/>
            </a:rPr>
            <a:pPr algn="r"/>
            <a:t>Rev. 2024-11-19a</a:t>
          </a:fld>
          <a:endParaRPr lang="da-DK" sz="800" b="1"/>
        </a:p>
      </cdr:txBody>
    </cdr:sp>
  </cdr:relSizeAnchor>
  <cdr:relSizeAnchor xmlns:cdr="http://schemas.openxmlformats.org/drawingml/2006/chartDrawing">
    <cdr:from>
      <cdr:x>0.58666</cdr:x>
      <cdr:y>0.92088</cdr:y>
    </cdr:from>
    <cdr:to>
      <cdr:x>0.96845</cdr:x>
      <cdr:y>0.97988</cdr:y>
    </cdr:to>
    <cdr:sp macro="" textlink="Data!$E$193">
      <cdr:nvSpPr>
        <cdr:cNvPr id="7" name="TextBox 1"/>
        <cdr:cNvSpPr txBox="1"/>
      </cdr:nvSpPr>
      <cdr:spPr>
        <a:xfrm xmlns:a="http://schemas.openxmlformats.org/drawingml/2006/main">
          <a:off x="5456464" y="5593046"/>
          <a:ext cx="3550975" cy="3583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2D438FBC-F46A-4385-AAFC-5478DAA6B7C6}" type="TxLink">
            <a:rPr lang="en-US" sz="1200" b="1" i="0" u="none" strike="noStrike">
              <a:solidFill>
                <a:schemeClr val="tx1"/>
              </a:solidFill>
              <a:latin typeface="+mn-lt"/>
              <a:cs typeface="Arial"/>
            </a:rPr>
            <a:pPr algn="l"/>
            <a:t>RESULTAT: 
Min= 351 Middel= 503 Max= 656 Mill. &amp; GU's = 120,5</a:t>
          </a:fld>
          <a:endParaRPr lang="da-DK" sz="1200" b="1">
            <a:solidFill>
              <a:schemeClr val="tx1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0.39134</cdr:x>
      <cdr:y>0.03483</cdr:y>
    </cdr:from>
    <cdr:to>
      <cdr:x>0.61889</cdr:x>
      <cdr:y>0.08843</cdr:y>
    </cdr:to>
    <cdr:sp macro="" textlink="">
      <cdr:nvSpPr>
        <cdr:cNvPr id="20" name="TextBox 19"/>
        <cdr:cNvSpPr txBox="1"/>
      </cdr:nvSpPr>
      <cdr:spPr>
        <a:xfrm xmlns:a="http://schemas.openxmlformats.org/drawingml/2006/main">
          <a:off x="3639777" y="211530"/>
          <a:ext cx="2116416" cy="3255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n-GB" sz="1800" b="1"/>
            <a:t>Tornado Diagram</a:t>
          </a:r>
        </a:p>
      </cdr:txBody>
    </cdr:sp>
  </cdr:relSizeAnchor>
  <cdr:relSizeAnchor xmlns:cdr="http://schemas.openxmlformats.org/drawingml/2006/chartDrawing">
    <cdr:from>
      <cdr:x>0.76174</cdr:x>
      <cdr:y>0.78589</cdr:y>
    </cdr:from>
    <cdr:to>
      <cdr:x>0.97477</cdr:x>
      <cdr:y>0.83269</cdr:y>
    </cdr:to>
    <cdr:sp macro="" textlink="Data!$E$199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237394F4-2DA1-74B5-99DA-CA486A97A3AB}"/>
            </a:ext>
          </a:extLst>
        </cdr:cNvPr>
        <cdr:cNvSpPr txBox="1"/>
      </cdr:nvSpPr>
      <cdr:spPr>
        <a:xfrm xmlns:a="http://schemas.openxmlformats.org/drawingml/2006/main">
          <a:off x="7086600" y="4775625"/>
          <a:ext cx="1981833" cy="28439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accent1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2E4C51A8-60C2-4E05-A0BB-C059AA6A1D75}" type="TxLink">
            <a:rPr lang="en-US" sz="1300" b="0" i="0" u="none" strike="noStrike">
              <a:solidFill>
                <a:schemeClr val="tx1"/>
              </a:solidFill>
              <a:latin typeface="+mn-lt"/>
              <a:cs typeface="Arial"/>
            </a:rPr>
            <a:pPr algn="ctr"/>
            <a:t>Projekt-usikkerhed=  13 %</a:t>
          </a:fld>
          <a:endParaRPr lang="da-DK" sz="1300" b="0">
            <a:solidFill>
              <a:schemeClr val="tx1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0.0157</cdr:x>
      <cdr:y>0.02194</cdr:y>
    </cdr:from>
    <cdr:to>
      <cdr:x>0.14358</cdr:x>
      <cdr:y>0.0952</cdr:y>
    </cdr:to>
    <cdr:pic>
      <cdr:nvPicPr>
        <cdr:cNvPr id="3" name="Picture 2" descr="A black background with blue text&#10;&#10;Description automatically generated">
          <a:extLst xmlns:a="http://schemas.openxmlformats.org/drawingml/2006/main">
            <a:ext uri="{FF2B5EF4-FFF2-40B4-BE49-F238E27FC236}">
              <a16:creationId xmlns:a16="http://schemas.microsoft.com/office/drawing/2014/main" id="{5CDA025E-EF12-6019-894B-3C0045456D2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46025" y="133255"/>
          <a:ext cx="1189418" cy="444969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27215</xdr:colOff>
      <xdr:row>3</xdr:row>
      <xdr:rowOff>54428</xdr:rowOff>
    </xdr:from>
    <xdr:to>
      <xdr:col>14</xdr:col>
      <xdr:colOff>647701</xdr:colOff>
      <xdr:row>38</xdr:row>
      <xdr:rowOff>74117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27DA27-45B1-85E2-0073-DAF443C3B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1" y="527957"/>
          <a:ext cx="8458200" cy="5544189"/>
        </a:xfrm>
        <a:prstGeom prst="rect">
          <a:avLst/>
        </a:prstGeom>
      </xdr:spPr>
    </xdr:pic>
    <xdr:clientData/>
  </xdr:twoCellAnchor>
  <xdr:oneCellAnchor>
    <xdr:from>
      <xdr:col>10</xdr:col>
      <xdr:colOff>566055</xdr:colOff>
      <xdr:row>11</xdr:row>
      <xdr:rowOff>125185</xdr:rowOff>
    </xdr:from>
    <xdr:ext cx="2703945" cy="1125501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F20155C-FF1F-4A15-BDF9-A7B02FFE60AE}"/>
            </a:ext>
          </a:extLst>
        </xdr:cNvPr>
        <xdr:cNvSpPr/>
      </xdr:nvSpPr>
      <xdr:spPr>
        <a:xfrm rot="947975">
          <a:off x="7097484" y="1861456"/>
          <a:ext cx="2703945" cy="112550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GB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Forhør nærmere </a:t>
          </a:r>
        </a:p>
        <a:p>
          <a:pPr algn="ctr"/>
          <a:r>
            <a:rPr lang="en-GB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for</a:t>
          </a:r>
          <a:r>
            <a:rPr lang="en-GB" sz="22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den fulde version:</a:t>
          </a:r>
        </a:p>
        <a:p>
          <a:pPr algn="ctr"/>
          <a:r>
            <a:rPr lang="en-GB" sz="22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Mail@compilot.dk</a:t>
          </a:r>
          <a:endParaRPr lang="en-GB" sz="22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615714" cy="66548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0.74691</cdr:x>
      <cdr:y>0.7497</cdr:y>
    </cdr:from>
    <cdr:to>
      <cdr:x>0.94316</cdr:x>
      <cdr:y>0.84443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79717" y="4987020"/>
          <a:ext cx="1886458" cy="630156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72000" tIns="36000" rIns="36000" bIns="3600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Garamond"/>
            </a:rPr>
            <a:t>Antagelse: </a:t>
          </a:r>
          <a:r>
            <a:rPr lang="en-GB" sz="1200" b="0" i="0" u="none" strike="noStrike" baseline="0">
              <a:solidFill>
                <a:srgbClr val="000000"/>
              </a:solidFill>
              <a:latin typeface="Garamond"/>
            </a:rPr>
            <a:t>Elementerne er alle indbyrdes uafhængige af hinanden!</a:t>
          </a:r>
        </a:p>
      </cdr:txBody>
    </cdr:sp>
  </cdr:relSizeAnchor>
  <cdr:relSizeAnchor xmlns:cdr="http://schemas.openxmlformats.org/drawingml/2006/chartDrawing">
    <cdr:from>
      <cdr:x>0.15485</cdr:x>
      <cdr:y>0.22043</cdr:y>
    </cdr:from>
    <cdr:to>
      <cdr:x>0.28602</cdr:x>
      <cdr:y>0.26471</cdr:y>
    </cdr:to>
    <cdr:sp macro="" textlink="Data!$J$183">
      <cdr:nvSpPr>
        <cdr:cNvPr id="2056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88495" y="1466294"/>
          <a:ext cx="1260884" cy="294544"/>
        </a:xfrm>
        <a:prstGeom xmlns:a="http://schemas.openxmlformats.org/drawingml/2006/main" prst="rect">
          <a:avLst/>
        </a:prstGeom>
        <a:solidFill xmlns:a="http://schemas.openxmlformats.org/drawingml/2006/main">
          <a:srgbClr val="92D050"/>
        </a:solidFill>
        <a:ln xmlns:a="http://schemas.openxmlformats.org/drawingml/2006/main" w="12700" algn="ctr">
          <a:solidFill>
            <a:srgbClr val="00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fld id="{E1C45066-F719-4FCA-AB12-2911D106743D}" type="TxLink">
            <a:rPr lang="en-US" sz="1300" b="1" i="0" u="none" strike="noStrike" baseline="0">
              <a:solidFill>
                <a:schemeClr val="tx1"/>
              </a:solidFill>
              <a:latin typeface="Arial"/>
              <a:cs typeface="Arial"/>
            </a:rPr>
            <a:pPr algn="l" rtl="0">
              <a:defRPr sz="1000"/>
            </a:pPr>
            <a:t>P(85) Budget</a:t>
          </a:fld>
          <a:endParaRPr lang="en-GB" sz="1300" b="1" i="0" u="none" strike="noStrike" baseline="0">
            <a:solidFill>
              <a:schemeClr val="tx1"/>
            </a:solidFill>
            <a:latin typeface="Georgia"/>
          </a:endParaRPr>
        </a:p>
      </cdr:txBody>
    </cdr:sp>
  </cdr:relSizeAnchor>
  <cdr:relSizeAnchor xmlns:cdr="http://schemas.openxmlformats.org/drawingml/2006/chartDrawing">
    <cdr:from>
      <cdr:x>0.15907</cdr:x>
      <cdr:y>0.48274</cdr:y>
    </cdr:from>
    <cdr:to>
      <cdr:x>0.28709</cdr:x>
      <cdr:y>0.52864</cdr:y>
    </cdr:to>
    <cdr:sp macro="" textlink="Data!$J$185">
      <cdr:nvSpPr>
        <cdr:cNvPr id="2057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29025" y="3211203"/>
          <a:ext cx="1230651" cy="305323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4">
            <a:lumMod val="75000"/>
          </a:schemeClr>
        </a:solidFill>
        <a:ln xmlns:a="http://schemas.openxmlformats.org/drawingml/2006/main" w="12700" algn="ctr">
          <a:solidFill>
            <a:srgbClr val="00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681C39A5-C80D-4A33-A8F5-CEDCDE96C723}" type="TxLink">
            <a:rPr lang="en-US" sz="1300" b="1" i="0" u="none" strike="noStrike" baseline="0">
              <a:solidFill>
                <a:schemeClr val="bg1"/>
              </a:solidFill>
              <a:latin typeface="Arial"/>
              <a:cs typeface="Arial"/>
            </a:rPr>
            <a:pPr algn="ctr" rtl="0">
              <a:defRPr sz="1000"/>
            </a:pPr>
            <a:t>P(50) Budget</a:t>
          </a:fld>
          <a:endParaRPr lang="en-GB" sz="1300" b="1" i="0" u="none" strike="noStrike" baseline="0">
            <a:solidFill>
              <a:schemeClr val="bg1"/>
            </a:solidFill>
            <a:latin typeface="Georgia"/>
          </a:endParaRPr>
        </a:p>
      </cdr:txBody>
    </cdr:sp>
  </cdr:relSizeAnchor>
  <cdr:relSizeAnchor xmlns:cdr="http://schemas.openxmlformats.org/drawingml/2006/chartDrawing">
    <cdr:from>
      <cdr:x>0.01124</cdr:x>
      <cdr:y>0.14085</cdr:y>
    </cdr:from>
    <cdr:to>
      <cdr:x>0.0729</cdr:x>
      <cdr:y>0.1834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7830" y="936923"/>
          <a:ext cx="591756" cy="283045"/>
        </a:xfrm>
        <a:prstGeom xmlns:a="http://schemas.openxmlformats.org/drawingml/2006/main" prst="rect">
          <a:avLst/>
        </a:prstGeom>
        <a:ln xmlns:a="http://schemas.openxmlformats.org/drawingml/2006/main" w="25400">
          <a:noFill/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400" b="1" i="0" u="none" strike="noStrike" kern="1200" baseline="0">
              <a:solidFill>
                <a:sysClr val="windowText" lastClr="000000"/>
              </a:solidFill>
              <a:latin typeface="Garamond"/>
              <a:ea typeface="Garamond"/>
              <a:cs typeface="Garamond"/>
            </a:rPr>
            <a:t>P(ii)</a:t>
          </a:r>
        </a:p>
      </cdr:txBody>
    </cdr:sp>
  </cdr:relSizeAnchor>
  <cdr:relSizeAnchor xmlns:cdr="http://schemas.openxmlformats.org/drawingml/2006/chartDrawing">
    <cdr:from>
      <cdr:x>0</cdr:x>
      <cdr:y>0.96656</cdr:y>
    </cdr:from>
    <cdr:to>
      <cdr:x>0.37269</cdr:x>
      <cdr:y>1</cdr:y>
    </cdr:to>
    <cdr:sp macro="" textlink="Data!$E$191">
      <cdr:nvSpPr>
        <cdr:cNvPr id="14" name="TextBox 1"/>
        <cdr:cNvSpPr txBox="1"/>
      </cdr:nvSpPr>
      <cdr:spPr>
        <a:xfrm xmlns:a="http://schemas.openxmlformats.org/drawingml/2006/main">
          <a:off x="0" y="6429594"/>
          <a:ext cx="3584446" cy="2224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47151B91-AF42-4561-88C2-3AC4C296D6CA}" type="TxLink">
            <a:rPr lang="en-US" sz="800" b="0" i="0" u="none" strike="noStrike">
              <a:solidFill>
                <a:srgbClr val="000000"/>
              </a:solidFill>
              <a:latin typeface="Arial"/>
              <a:cs typeface="Arial"/>
            </a:rPr>
            <a:pPr algn="l"/>
            <a:t>tidlig-kvalitetssikring-byggeprojekt_2024-11-19b.xlsx</a:t>
          </a:fld>
          <a:endParaRPr lang="da-DK" sz="800" b="1"/>
        </a:p>
      </cdr:txBody>
    </cdr:sp>
  </cdr:relSizeAnchor>
  <cdr:relSizeAnchor xmlns:cdr="http://schemas.openxmlformats.org/drawingml/2006/chartDrawing">
    <cdr:from>
      <cdr:x>0.79517</cdr:x>
      <cdr:y>0.93256</cdr:y>
    </cdr:from>
    <cdr:to>
      <cdr:x>0.97429</cdr:x>
      <cdr:y>0.99303</cdr:y>
    </cdr:to>
    <cdr:sp macro="" textlink="Data!$E$189">
      <cdr:nvSpPr>
        <cdr:cNvPr id="15" name="TextBox 1"/>
        <cdr:cNvSpPr txBox="1"/>
      </cdr:nvSpPr>
      <cdr:spPr>
        <a:xfrm xmlns:a="http://schemas.openxmlformats.org/drawingml/2006/main">
          <a:off x="7635450" y="6203466"/>
          <a:ext cx="1719952" cy="402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A26BBAAE-477A-464A-B105-489653E4645B}" type="TxLink">
            <a:rPr lang="en-US" sz="1050" b="1" i="0" u="none" strike="noStrike">
              <a:solidFill>
                <a:schemeClr val="tx1"/>
              </a:solidFill>
              <a:latin typeface="Garamond"/>
            </a:rPr>
            <a:pPr/>
            <a:t>P(GU'ere):         75%
P(Opgaver):     25%</a:t>
          </a:fld>
          <a:endParaRPr lang="da-DK" sz="105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0.76608</cdr:x>
      <cdr:y>0.00929</cdr:y>
    </cdr:from>
    <cdr:to>
      <cdr:x>0.9882</cdr:x>
      <cdr:y>0.04283</cdr:y>
    </cdr:to>
    <cdr:sp macro="" textlink="Data!$A$2">
      <cdr:nvSpPr>
        <cdr:cNvPr id="16" name="TextBox 1"/>
        <cdr:cNvSpPr txBox="1"/>
      </cdr:nvSpPr>
      <cdr:spPr>
        <a:xfrm xmlns:a="http://schemas.openxmlformats.org/drawingml/2006/main">
          <a:off x="7352152" y="61810"/>
          <a:ext cx="2131703" cy="2231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7C62D364-AE8B-4EBC-A51F-83179AA727F7}" type="TxLink">
            <a:rPr lang="en-US" sz="600" b="0" i="0" u="none" strike="noStrike">
              <a:solidFill>
                <a:srgbClr val="000000"/>
              </a:solidFill>
              <a:latin typeface="Arial"/>
              <a:cs typeface="Arial"/>
            </a:rPr>
            <a:pPr algn="r"/>
            <a:t>Rev. 2024-11-19a</a:t>
          </a:fld>
          <a:endParaRPr lang="da-DK" sz="600" b="1"/>
        </a:p>
      </cdr:txBody>
    </cdr:sp>
  </cdr:relSizeAnchor>
  <cdr:relSizeAnchor xmlns:cdr="http://schemas.openxmlformats.org/drawingml/2006/chartDrawing">
    <cdr:from>
      <cdr:x>0.3744</cdr:x>
      <cdr:y>0.93679</cdr:y>
    </cdr:from>
    <cdr:to>
      <cdr:x>0.75107</cdr:x>
      <cdr:y>0.9907</cdr:y>
    </cdr:to>
    <cdr:sp macro="" textlink="Data!$E$193">
      <cdr:nvSpPr>
        <cdr:cNvPr id="17" name="TextBox 1"/>
        <cdr:cNvSpPr txBox="1"/>
      </cdr:nvSpPr>
      <cdr:spPr>
        <a:xfrm xmlns:a="http://schemas.openxmlformats.org/drawingml/2006/main">
          <a:off x="3598905" y="6231578"/>
          <a:ext cx="3620776" cy="3586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893C974-ADFE-48FF-8498-0AC87539643D}" type="TxLink">
            <a:rPr lang="en-US" sz="1200" b="1" i="0" u="none" strike="noStrike">
              <a:solidFill>
                <a:schemeClr val="tx1"/>
              </a:solidFill>
              <a:latin typeface="Garamond" panose="02020404030301010803" pitchFamily="18" charset="0"/>
              <a:cs typeface="Arial"/>
            </a:rPr>
            <a:pPr/>
            <a:t>RESULTAT: 
Min= 351 Middel= 503 Max= 656 Mill. &amp; GU's = 120,5</a:t>
          </a:fld>
          <a:endParaRPr lang="da-DK" sz="1200" b="1">
            <a:solidFill>
              <a:schemeClr val="tx1"/>
            </a:solidFill>
            <a:latin typeface="Garamond" panose="02020404030301010803" pitchFamily="18" charset="0"/>
          </a:endParaRPr>
        </a:p>
      </cdr:txBody>
    </cdr:sp>
  </cdr:relSizeAnchor>
  <cdr:relSizeAnchor xmlns:cdr="http://schemas.openxmlformats.org/drawingml/2006/chartDrawing">
    <cdr:from>
      <cdr:x>0.53375</cdr:x>
      <cdr:y>0.04323</cdr:y>
    </cdr:from>
    <cdr:to>
      <cdr:x>0.97689</cdr:x>
      <cdr:y>0.11689</cdr:y>
    </cdr:to>
    <cdr:sp macro="" textlink="Data!$E$190">
      <cdr:nvSpPr>
        <cdr:cNvPr id="18" name="TextBox 1"/>
        <cdr:cNvSpPr txBox="1"/>
      </cdr:nvSpPr>
      <cdr:spPr>
        <a:xfrm xmlns:a="http://schemas.openxmlformats.org/drawingml/2006/main">
          <a:off x="5125198" y="287567"/>
          <a:ext cx="4255132" cy="4899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006A3A37-7368-4F5E-95E6-90AFCAF68766}" type="TxLink">
            <a:rPr lang="en-US" sz="2000" b="1" i="0" u="none" strike="noStrike">
              <a:solidFill>
                <a:schemeClr val="tx1"/>
              </a:solidFill>
              <a:latin typeface="Arial"/>
              <a:cs typeface="Arial"/>
            </a:rPr>
            <a:pPr algn="r"/>
            <a:t>Byggeprojekt - Idé oplæg.</a:t>
          </a:fld>
          <a:endParaRPr lang="da-DK" sz="20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0.15551</cdr:x>
      <cdr:y>0.13767</cdr:y>
    </cdr:from>
    <cdr:to>
      <cdr:x>0.2887</cdr:x>
      <cdr:y>0.18111</cdr:y>
    </cdr:to>
    <cdr:sp macro="" textlink="Data!$J$184">
      <cdr:nvSpPr>
        <cdr:cNvPr id="21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94892" y="915777"/>
          <a:ext cx="1280230" cy="289007"/>
        </a:xfrm>
        <a:prstGeom xmlns:a="http://schemas.openxmlformats.org/drawingml/2006/main" prst="rect">
          <a:avLst/>
        </a:prstGeom>
        <a:solidFill xmlns:a="http://schemas.openxmlformats.org/drawingml/2006/main">
          <a:srgbClr val="C00000"/>
        </a:solidFill>
        <a:ln xmlns:a="http://schemas.openxmlformats.org/drawingml/2006/main" w="12700" algn="ctr">
          <a:solidFill>
            <a:srgbClr val="00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fld id="{7568D37E-4497-494C-BBEF-221AD8B26D7F}" type="TxLink">
            <a:rPr lang="en-US" sz="1300" b="1" i="0" u="none" strike="noStrike" baseline="0">
              <a:solidFill>
                <a:schemeClr val="bg1"/>
              </a:solidFill>
              <a:latin typeface="Arial"/>
              <a:cs typeface="Arial"/>
            </a:rPr>
            <a:pPr algn="l" rtl="0">
              <a:defRPr sz="1000"/>
            </a:pPr>
            <a:t>P(95) Budget</a:t>
          </a:fld>
          <a:endParaRPr lang="en-GB" sz="1300" b="1" i="0" u="none" strike="noStrike" baseline="0">
            <a:solidFill>
              <a:schemeClr val="bg1"/>
            </a:solidFill>
            <a:latin typeface="Georgia"/>
          </a:endParaRPr>
        </a:p>
      </cdr:txBody>
    </cdr:sp>
  </cdr:relSizeAnchor>
  <cdr:relSizeAnchor xmlns:cdr="http://schemas.openxmlformats.org/drawingml/2006/chartDrawing">
    <cdr:from>
      <cdr:x>0.74719</cdr:x>
      <cdr:y>0.70191</cdr:y>
    </cdr:from>
    <cdr:to>
      <cdr:x>0.94319</cdr:x>
      <cdr:y>0.73762</cdr:y>
    </cdr:to>
    <cdr:sp macro="" textlink="Data!$E$199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18F98728-DD70-DAAA-0EA4-87EB7C6B66E9}"/>
            </a:ext>
          </a:extLst>
        </cdr:cNvPr>
        <cdr:cNvSpPr txBox="1"/>
      </cdr:nvSpPr>
      <cdr:spPr>
        <a:xfrm xmlns:a="http://schemas.openxmlformats.org/drawingml/2006/main">
          <a:off x="7182365" y="4669143"/>
          <a:ext cx="1884074" cy="23751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D3B2896-EB35-4FF3-9EEB-F8D9079E6581}" type="TxLink">
            <a:rPr lang="en-US" sz="1100" b="0" i="0" u="none" strike="noStrike">
              <a:solidFill>
                <a:schemeClr val="tx1"/>
              </a:solidFill>
              <a:latin typeface="Arial"/>
              <a:cs typeface="Arial"/>
            </a:rPr>
            <a:pPr algn="r"/>
            <a:t>Projekt-usikkerhed=  13 %</a:t>
          </a:fld>
          <a:endParaRPr lang="da-DK" sz="2000" b="0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0.02357</cdr:x>
      <cdr:y>0.02477</cdr:y>
    </cdr:from>
    <cdr:to>
      <cdr:x>0.16262</cdr:x>
      <cdr:y>0.09907</cdr:y>
    </cdr:to>
    <cdr:pic>
      <cdr:nvPicPr>
        <cdr:cNvPr id="6" name="chart">
          <a:extLst xmlns:a="http://schemas.openxmlformats.org/drawingml/2006/main">
            <a:ext uri="{FF2B5EF4-FFF2-40B4-BE49-F238E27FC236}">
              <a16:creationId xmlns:a16="http://schemas.microsoft.com/office/drawing/2014/main" id="{0565CB57-BD1D-F058-BF62-29E748DF3800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226541" y="164757"/>
          <a:ext cx="1336615" cy="49427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0.8266</cdr:x>
      <cdr:y>0.35459</cdr:y>
    </cdr:from>
    <cdr:to>
      <cdr:x>0.94876</cdr:x>
      <cdr:y>0.5311</cdr:y>
    </cdr:to>
    <cdr:pic>
      <cdr:nvPicPr>
        <cdr:cNvPr id="4" name="Graphic 4" descr="Crane outline">
          <a:extLst xmlns:a="http://schemas.openxmlformats.org/drawingml/2006/main">
            <a:ext uri="{FF2B5EF4-FFF2-40B4-BE49-F238E27FC236}">
              <a16:creationId xmlns:a16="http://schemas.microsoft.com/office/drawing/2014/main" id="{F36C7B58-EEA0-E994-98D9-EFEBBD1D7A4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948990" y="2359707"/>
          <a:ext cx="1174689" cy="1174689"/>
        </a:xfrm>
        <a:prstGeom xmlns:a="http://schemas.openxmlformats.org/drawingml/2006/main" prst="rect">
          <a:avLst/>
        </a:prstGeom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10119917" cy="606941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0.46498</cdr:x>
      <cdr:y>0.90821</cdr:y>
    </cdr:from>
    <cdr:to>
      <cdr:x>0.65558</cdr:x>
      <cdr:y>0.98459</cdr:y>
    </cdr:to>
    <cdr:sp macro="" textlink="Data!$E$189">
      <cdr:nvSpPr>
        <cdr:cNvPr id="3" name="TextBox 2"/>
        <cdr:cNvSpPr txBox="1"/>
      </cdr:nvSpPr>
      <cdr:spPr>
        <a:xfrm xmlns:a="http://schemas.openxmlformats.org/drawingml/2006/main">
          <a:off x="4282587" y="5134002"/>
          <a:ext cx="1755435" cy="4317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1B181E2-F431-418C-873F-FD2F30BEFB41}" type="TxLink">
            <a:rPr lang="en-US" sz="1000" b="1" i="0" u="none" strike="noStrike">
              <a:solidFill>
                <a:srgbClr val="000000"/>
              </a:solidFill>
              <a:latin typeface="Garamond"/>
            </a:rPr>
            <a:pPr/>
            <a:t>P(GU'ere):         75%
P(Opgaver):     25%</a:t>
          </a:fld>
          <a:endParaRPr lang="da-DK" sz="800" b="1"/>
        </a:p>
      </cdr:txBody>
    </cdr:sp>
  </cdr:relSizeAnchor>
  <cdr:relSizeAnchor xmlns:cdr="http://schemas.openxmlformats.org/drawingml/2006/chartDrawing">
    <cdr:from>
      <cdr:x>0</cdr:x>
      <cdr:y>0.94867</cdr:y>
    </cdr:from>
    <cdr:to>
      <cdr:x>0.38883</cdr:x>
      <cdr:y>0.98811</cdr:y>
    </cdr:to>
    <cdr:sp macro="" textlink="Data!$E$191">
      <cdr:nvSpPr>
        <cdr:cNvPr id="4" name="TextBox 1"/>
        <cdr:cNvSpPr txBox="1"/>
      </cdr:nvSpPr>
      <cdr:spPr>
        <a:xfrm xmlns:a="http://schemas.openxmlformats.org/drawingml/2006/main">
          <a:off x="0" y="5351670"/>
          <a:ext cx="3576984" cy="222526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8D37A5BF-1CE0-4A0A-A3F0-BA52EAF167DC}" type="TxLink">
            <a:rPr lang="en-US" sz="800" b="0" i="0" u="none" strike="noStrike">
              <a:solidFill>
                <a:srgbClr val="000000"/>
              </a:solidFill>
              <a:latin typeface="+mn-lt"/>
              <a:cs typeface="Arial"/>
            </a:rPr>
            <a:pPr algn="l"/>
            <a:t>tidlig-kvalitetssikring-byggeprojekt_2024-11-19b.xlsx</a:t>
          </a:fld>
          <a:endParaRPr lang="da-DK" sz="800" b="1">
            <a:latin typeface="+mn-lt"/>
          </a:endParaRPr>
        </a:p>
      </cdr:txBody>
    </cdr:sp>
  </cdr:relSizeAnchor>
  <cdr:relSizeAnchor xmlns:cdr="http://schemas.openxmlformats.org/drawingml/2006/chartDrawing">
    <cdr:from>
      <cdr:x>0.62694</cdr:x>
      <cdr:y>0.04788</cdr:y>
    </cdr:from>
    <cdr:to>
      <cdr:x>0.98652</cdr:x>
      <cdr:y>0.21304</cdr:y>
    </cdr:to>
    <cdr:sp macro="" textlink="Data!$E$190">
      <cdr:nvSpPr>
        <cdr:cNvPr id="5" name="TextBox 1"/>
        <cdr:cNvSpPr txBox="1"/>
      </cdr:nvSpPr>
      <cdr:spPr>
        <a:xfrm xmlns:a="http://schemas.openxmlformats.org/drawingml/2006/main">
          <a:off x="5774255" y="270652"/>
          <a:ext cx="3311826" cy="9336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44495B1-312E-4897-8C21-D875DCA4DA0D}" type="TxLink">
            <a:rPr lang="en-US" sz="2000" b="1" i="0" u="none" strike="noStrike">
              <a:solidFill>
                <a:srgbClr val="0000FF"/>
              </a:solidFill>
              <a:latin typeface="+mn-lt"/>
              <a:cs typeface="Arial"/>
            </a:rPr>
            <a:pPr algn="r"/>
            <a:t>Byggeprojekt - Idé oplæg.</a:t>
          </a:fld>
          <a:endParaRPr lang="da-DK" sz="2000" b="1">
            <a:solidFill>
              <a:srgbClr val="0000FF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0.76854</cdr:x>
      <cdr:y>0.00898</cdr:y>
    </cdr:from>
    <cdr:to>
      <cdr:x>1</cdr:x>
      <cdr:y>0.04842</cdr:y>
    </cdr:to>
    <cdr:sp macro="" textlink="Data!$A$2">
      <cdr:nvSpPr>
        <cdr:cNvPr id="6" name="TextBox 1"/>
        <cdr:cNvSpPr txBox="1"/>
      </cdr:nvSpPr>
      <cdr:spPr>
        <a:xfrm xmlns:a="http://schemas.openxmlformats.org/drawingml/2006/main">
          <a:off x="7078492" y="50801"/>
          <a:ext cx="2131769" cy="223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1637113-5A15-4705-A143-9124EA56AF69}" type="TxLink">
            <a:rPr lang="en-US" sz="600" b="0" i="0" u="none" strike="noStrike">
              <a:solidFill>
                <a:srgbClr val="000000"/>
              </a:solidFill>
              <a:latin typeface="+mn-lt"/>
              <a:cs typeface="Arial"/>
            </a:rPr>
            <a:pPr algn="r"/>
            <a:t>Rev. 2024-11-19a</a:t>
          </a:fld>
          <a:endParaRPr lang="da-DK" sz="600" b="1">
            <a:latin typeface="+mn-lt"/>
          </a:endParaRPr>
        </a:p>
      </cdr:txBody>
    </cdr:sp>
  </cdr:relSizeAnchor>
  <cdr:relSizeAnchor xmlns:cdr="http://schemas.openxmlformats.org/drawingml/2006/chartDrawing">
    <cdr:from>
      <cdr:x>0.65153</cdr:x>
      <cdr:y>0.90916</cdr:y>
    </cdr:from>
    <cdr:to>
      <cdr:x>0.99685</cdr:x>
      <cdr:y>0.97255</cdr:y>
    </cdr:to>
    <cdr:sp macro="" textlink="Data!$E$193">
      <cdr:nvSpPr>
        <cdr:cNvPr id="7" name="TextBox 1"/>
        <cdr:cNvSpPr txBox="1"/>
      </cdr:nvSpPr>
      <cdr:spPr>
        <a:xfrm xmlns:a="http://schemas.openxmlformats.org/drawingml/2006/main">
          <a:off x="6000751" y="5139372"/>
          <a:ext cx="3180522" cy="3583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AFD44CF2-664C-4DB7-BAE4-2FCEA77D7A33}" type="TxLink">
            <a:rPr lang="en-US" sz="1200" b="1" i="0" u="none" strike="noStrike">
              <a:solidFill>
                <a:srgbClr val="0000FF"/>
              </a:solidFill>
              <a:latin typeface="+mn-lt"/>
              <a:cs typeface="Arial"/>
            </a:rPr>
            <a:pPr/>
            <a:t>RESULTAT: 
Min= 351 Middel= 503 Max= 656 Mill. &amp; GU's = 120,5</a:t>
          </a:fld>
          <a:endParaRPr lang="da-DK" sz="1200" b="1">
            <a:solidFill>
              <a:srgbClr val="0000FF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0.01856</cdr:x>
      <cdr:y>0.02657</cdr:y>
    </cdr:from>
    <cdr:to>
      <cdr:x>0.13499</cdr:x>
      <cdr:y>0.09754</cdr:y>
    </cdr:to>
    <cdr:pic>
      <cdr:nvPicPr>
        <cdr:cNvPr id="8" name="Picture 7" descr="A black background with blue text&#10;&#10;Description automatically generated">
          <a:extLst xmlns:a="http://schemas.openxmlformats.org/drawingml/2006/main">
            <a:ext uri="{FF2B5EF4-FFF2-40B4-BE49-F238E27FC236}">
              <a16:creationId xmlns:a16="http://schemas.microsoft.com/office/drawing/2014/main" id="{5D09074F-3BCC-DE0F-25BF-B268B890A85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87929" y="161312"/>
          <a:ext cx="1178917" cy="43089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0.00821</cdr:x>
      <cdr:y>0.72034</cdr:y>
    </cdr:from>
    <cdr:to>
      <cdr:x>0.10529</cdr:x>
      <cdr:y>0.93981</cdr:y>
    </cdr:to>
    <cdr:pic>
      <cdr:nvPicPr>
        <cdr:cNvPr id="9" name="Picture 8">
          <a:extLst xmlns:a="http://schemas.openxmlformats.org/drawingml/2006/main">
            <a:ext uri="{FF2B5EF4-FFF2-40B4-BE49-F238E27FC236}">
              <a16:creationId xmlns:a16="http://schemas.microsoft.com/office/drawing/2014/main" id="{73858043-28A9-394F-C4E9-D5CC1D554E7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75648" y="4072006"/>
          <a:ext cx="894080" cy="1240610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10123714" cy="607126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0.4339</cdr:x>
      <cdr:y>0.90676</cdr:y>
    </cdr:from>
    <cdr:to>
      <cdr:x>0.6338</cdr:x>
      <cdr:y>0.98171</cdr:y>
    </cdr:to>
    <cdr:sp macro="" textlink="Data!$E$189">
      <cdr:nvSpPr>
        <cdr:cNvPr id="3" name="TextBox 2"/>
        <cdr:cNvSpPr txBox="1"/>
      </cdr:nvSpPr>
      <cdr:spPr>
        <a:xfrm xmlns:a="http://schemas.openxmlformats.org/drawingml/2006/main">
          <a:off x="3996360" y="5125805"/>
          <a:ext cx="1841104" cy="4236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fld id="{C13795DE-D631-456E-80CC-B8ED36EE7DFF}" type="TxLink">
            <a:rPr lang="en-US" sz="1000" b="1" i="0" u="none" strike="noStrike">
              <a:solidFill>
                <a:srgbClr val="000000"/>
              </a:solidFill>
              <a:latin typeface="Garamond"/>
            </a:rPr>
            <a:pPr algn="r"/>
            <a:t>P(GU'ere):         75%
P(Opgaver):     25%</a:t>
          </a:fld>
          <a:endParaRPr lang="da-DK" sz="800" b="1"/>
        </a:p>
      </cdr:txBody>
    </cdr:sp>
  </cdr:relSizeAnchor>
  <cdr:relSizeAnchor xmlns:cdr="http://schemas.openxmlformats.org/drawingml/2006/chartDrawing">
    <cdr:from>
      <cdr:x>0</cdr:x>
      <cdr:y>0.96056</cdr:y>
    </cdr:from>
    <cdr:to>
      <cdr:x>0.38883</cdr:x>
      <cdr:y>1</cdr:y>
    </cdr:to>
    <cdr:sp macro="" textlink="Data!$E$191">
      <cdr:nvSpPr>
        <cdr:cNvPr id="4" name="TextBox 1"/>
        <cdr:cNvSpPr txBox="1"/>
      </cdr:nvSpPr>
      <cdr:spPr>
        <a:xfrm xmlns:a="http://schemas.openxmlformats.org/drawingml/2006/main">
          <a:off x="0" y="5833789"/>
          <a:ext cx="3936404" cy="239532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264A20F-A36B-4F9A-9D31-808613135834}" type="TxLink">
            <a:rPr lang="en-US" sz="800" b="0" i="0" u="none" strike="noStrike">
              <a:solidFill>
                <a:srgbClr val="000000"/>
              </a:solidFill>
              <a:latin typeface="Arial"/>
              <a:cs typeface="Arial"/>
            </a:rPr>
            <a:pPr algn="l"/>
            <a:t>tidlig-kvalitetssikring-byggeprojekt_2024-11-19b.xlsx</a:t>
          </a:fld>
          <a:endParaRPr lang="da-DK" sz="800" b="1"/>
        </a:p>
      </cdr:txBody>
    </cdr:sp>
  </cdr:relSizeAnchor>
  <cdr:relSizeAnchor xmlns:cdr="http://schemas.openxmlformats.org/drawingml/2006/chartDrawing">
    <cdr:from>
      <cdr:x>0.55097</cdr:x>
      <cdr:y>0.03824</cdr:y>
    </cdr:from>
    <cdr:to>
      <cdr:x>1</cdr:x>
      <cdr:y>0.14631</cdr:y>
    </cdr:to>
    <cdr:sp macro="" textlink="Data!$E$190">
      <cdr:nvSpPr>
        <cdr:cNvPr id="5" name="TextBox 1"/>
        <cdr:cNvSpPr txBox="1"/>
      </cdr:nvSpPr>
      <cdr:spPr>
        <a:xfrm xmlns:a="http://schemas.openxmlformats.org/drawingml/2006/main">
          <a:off x="5081380" y="215691"/>
          <a:ext cx="4141305" cy="6095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060602C-196C-4F0B-B2F9-914A22028316}" type="TxLink">
            <a:rPr lang="en-US" sz="2000" b="1" i="0" u="none" strike="noStrike">
              <a:solidFill>
                <a:srgbClr val="0000FF"/>
              </a:solidFill>
              <a:latin typeface="+mn-lt"/>
              <a:cs typeface="Arial"/>
            </a:rPr>
            <a:pPr algn="r"/>
            <a:t>Byggeprojekt - Idé oplæg.</a:t>
          </a:fld>
          <a:endParaRPr lang="da-DK" sz="2000" b="1">
            <a:solidFill>
              <a:srgbClr val="0000FF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0.76854</cdr:x>
      <cdr:y>0.00898</cdr:y>
    </cdr:from>
    <cdr:to>
      <cdr:x>1</cdr:x>
      <cdr:y>0.04842</cdr:y>
    </cdr:to>
    <cdr:sp macro="" textlink="Data!$A$2">
      <cdr:nvSpPr>
        <cdr:cNvPr id="6" name="TextBox 1"/>
        <cdr:cNvSpPr txBox="1"/>
      </cdr:nvSpPr>
      <cdr:spPr>
        <a:xfrm xmlns:a="http://schemas.openxmlformats.org/drawingml/2006/main">
          <a:off x="7078492" y="50801"/>
          <a:ext cx="2131769" cy="223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1637113-5A15-4705-A143-9124EA56AF69}" type="TxLink">
            <a:rPr lang="en-US" sz="600" b="0" i="0" u="none" strike="noStrike">
              <a:solidFill>
                <a:srgbClr val="000000"/>
              </a:solidFill>
              <a:latin typeface="+mn-lt"/>
              <a:cs typeface="Arial"/>
            </a:rPr>
            <a:pPr algn="r"/>
            <a:t>Rev. 2024-11-19a</a:t>
          </a:fld>
          <a:endParaRPr lang="da-DK" sz="600" b="1">
            <a:latin typeface="+mn-lt"/>
          </a:endParaRPr>
        </a:p>
      </cdr:txBody>
    </cdr:sp>
  </cdr:relSizeAnchor>
  <cdr:relSizeAnchor xmlns:cdr="http://schemas.openxmlformats.org/drawingml/2006/chartDrawing">
    <cdr:from>
      <cdr:x>0.64249</cdr:x>
      <cdr:y>0.89946</cdr:y>
    </cdr:from>
    <cdr:to>
      <cdr:x>0.99943</cdr:x>
      <cdr:y>0.96285</cdr:y>
    </cdr:to>
    <cdr:sp macro="" textlink="Data!$E$193">
      <cdr:nvSpPr>
        <cdr:cNvPr id="7" name="TextBox 1"/>
        <cdr:cNvSpPr txBox="1"/>
      </cdr:nvSpPr>
      <cdr:spPr>
        <a:xfrm xmlns:a="http://schemas.openxmlformats.org/drawingml/2006/main">
          <a:off x="6505495" y="5460751"/>
          <a:ext cx="3614192" cy="38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9CFEC0C9-2051-44DC-9CC8-BC05A8A73516}" type="TxLink">
            <a:rPr lang="en-US" sz="1200" b="1" i="0" u="none" strike="noStrike">
              <a:solidFill>
                <a:srgbClr val="000000"/>
              </a:solidFill>
              <a:latin typeface="+mn-lt"/>
              <a:cs typeface="Arial"/>
            </a:rPr>
            <a:pPr/>
            <a:t>RESULTAT: 
Min= 351 Middel= 503 Max= 656 Mill. &amp; GU's = 120,5</a:t>
          </a:fld>
          <a:endParaRPr lang="da-DK" sz="1200" b="1">
            <a:latin typeface="+mn-lt"/>
          </a:endParaRPr>
        </a:p>
      </cdr:txBody>
    </cdr:sp>
  </cdr:relSizeAnchor>
  <cdr:relSizeAnchor xmlns:cdr="http://schemas.openxmlformats.org/drawingml/2006/chartDrawing">
    <cdr:from>
      <cdr:x>0.01676</cdr:x>
      <cdr:y>0.02657</cdr:y>
    </cdr:from>
    <cdr:to>
      <cdr:x>0.13252</cdr:x>
      <cdr:y>0.09713</cdr:y>
    </cdr:to>
    <cdr:pic>
      <cdr:nvPicPr>
        <cdr:cNvPr id="8" name="Picture 7" descr="A black background with blue text&#10;&#10;Description automatically generated">
          <a:extLst xmlns:a="http://schemas.openxmlformats.org/drawingml/2006/main">
            <a:ext uri="{FF2B5EF4-FFF2-40B4-BE49-F238E27FC236}">
              <a16:creationId xmlns:a16="http://schemas.microsoft.com/office/drawing/2014/main" id="{5D09074F-3BCC-DE0F-25BF-B268B890A85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69704" y="161311"/>
          <a:ext cx="1172080" cy="42839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0.01361</cdr:x>
      <cdr:y>0.72474</cdr:y>
    </cdr:from>
    <cdr:to>
      <cdr:x>0.11068</cdr:x>
      <cdr:y>0.9442</cdr:y>
    </cdr:to>
    <cdr:pic>
      <cdr:nvPicPr>
        <cdr:cNvPr id="10" name="Picture 9">
          <a:extLst xmlns:a="http://schemas.openxmlformats.org/drawingml/2006/main">
            <a:ext uri="{FF2B5EF4-FFF2-40B4-BE49-F238E27FC236}">
              <a16:creationId xmlns:a16="http://schemas.microsoft.com/office/drawing/2014/main" id="{73858043-28A9-394F-C4E9-D5CC1D554E7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125343" y="4096854"/>
          <a:ext cx="894080" cy="124061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mpilot.dk/" TargetMode="External"/><Relationship Id="rId1" Type="http://schemas.openxmlformats.org/officeDocument/2006/relationships/hyperlink" Target="http://www.lichtenberg.org/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3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0" tint="-0.34998626667073579"/>
  </sheetPr>
  <dimension ref="A1:AB119"/>
  <sheetViews>
    <sheetView tabSelected="1" zoomScale="75" zoomScaleNormal="75" workbookViewId="0">
      <pane ySplit="1" topLeftCell="A2" activePane="bottomLeft" state="frozen"/>
      <selection pane="bottomLeft"/>
    </sheetView>
  </sheetViews>
  <sheetFormatPr defaultRowHeight="12.45"/>
  <cols>
    <col min="1" max="1" width="7.23046875" customWidth="1"/>
    <col min="2" max="2" width="9.53515625" bestFit="1" customWidth="1"/>
    <col min="3" max="3" width="9.3046875" bestFit="1" customWidth="1"/>
    <col min="4" max="4" width="10.4609375" bestFit="1" customWidth="1"/>
    <col min="5" max="5" width="10.23046875" customWidth="1"/>
    <col min="6" max="6" width="32" style="8" customWidth="1"/>
    <col min="7" max="7" width="17.69140625" customWidth="1"/>
    <col min="8" max="8" width="38.3046875" style="17" customWidth="1"/>
    <col min="9" max="9" width="5.69140625" customWidth="1"/>
    <col min="10" max="21" width="9.23046875" style="48"/>
  </cols>
  <sheetData>
    <row r="1" spans="1:21" s="4" customFormat="1" ht="27.65" customHeight="1">
      <c r="A1" s="59" t="s">
        <v>61</v>
      </c>
      <c r="B1" s="46"/>
      <c r="C1" s="47"/>
      <c r="D1" s="46"/>
      <c r="E1" s="46"/>
      <c r="F1" s="46"/>
      <c r="G1" s="46"/>
      <c r="H1" s="60"/>
      <c r="I1" s="362"/>
      <c r="J1" s="46"/>
      <c r="K1" s="46"/>
      <c r="L1" s="367" t="str">
        <f>Data!$A$2</f>
        <v>Rev. 2024-11-19a</v>
      </c>
      <c r="M1" s="46"/>
      <c r="N1" s="46"/>
      <c r="O1" s="46"/>
      <c r="P1" s="46"/>
      <c r="Q1" s="46"/>
      <c r="R1" s="46"/>
      <c r="S1" s="46"/>
      <c r="T1" s="46"/>
      <c r="U1" s="46"/>
    </row>
    <row r="2" spans="1:21">
      <c r="A2" s="97"/>
      <c r="B2" s="97"/>
      <c r="C2" s="97"/>
      <c r="D2" s="97"/>
      <c r="E2" s="97"/>
      <c r="F2" s="97"/>
      <c r="G2" s="97"/>
      <c r="H2" s="97"/>
      <c r="I2" s="363"/>
    </row>
    <row r="3" spans="1:21" ht="15.45">
      <c r="A3" s="48"/>
      <c r="B3" s="48"/>
      <c r="C3" s="47"/>
      <c r="D3" s="48"/>
      <c r="E3" s="48"/>
      <c r="F3" s="49"/>
      <c r="G3" s="48"/>
      <c r="H3" s="50"/>
      <c r="I3" s="364"/>
    </row>
    <row r="4" spans="1:21" ht="15.45">
      <c r="A4" s="48"/>
      <c r="B4" s="48"/>
      <c r="C4" s="47"/>
      <c r="D4" s="48"/>
      <c r="E4" s="48"/>
      <c r="F4" s="49"/>
      <c r="G4" s="48"/>
      <c r="H4" s="50"/>
      <c r="I4" s="364"/>
    </row>
    <row r="5" spans="1:21" ht="15.45">
      <c r="A5" s="48"/>
      <c r="B5" s="48"/>
      <c r="C5" s="47"/>
      <c r="D5" s="48"/>
      <c r="E5" s="48"/>
      <c r="F5" s="49"/>
      <c r="G5" s="48"/>
      <c r="H5" s="50"/>
      <c r="I5" s="364"/>
    </row>
    <row r="6" spans="1:21" ht="15.45">
      <c r="A6" s="48"/>
      <c r="B6" s="48"/>
      <c r="C6" s="47"/>
      <c r="D6" s="48"/>
      <c r="E6" s="48"/>
      <c r="F6" s="49"/>
      <c r="G6" s="48"/>
      <c r="H6" s="50"/>
      <c r="I6" s="364"/>
    </row>
    <row r="7" spans="1:21" ht="15.45">
      <c r="A7" s="48"/>
      <c r="B7" s="48"/>
      <c r="C7" s="47"/>
      <c r="D7" s="48"/>
      <c r="E7" s="48"/>
      <c r="F7" s="49"/>
      <c r="G7" s="48"/>
      <c r="H7" s="50"/>
      <c r="I7" s="364"/>
    </row>
    <row r="8" spans="1:21" ht="15.45">
      <c r="A8" s="48"/>
      <c r="B8" s="48"/>
      <c r="C8" s="47"/>
      <c r="D8" s="48"/>
      <c r="E8" s="48"/>
      <c r="F8" s="49"/>
      <c r="G8" s="48"/>
      <c r="H8" s="50"/>
      <c r="I8" s="364"/>
    </row>
    <row r="9" spans="1:21" ht="15.45">
      <c r="A9" s="48"/>
      <c r="B9" s="48"/>
      <c r="C9" s="47"/>
      <c r="D9" s="47"/>
      <c r="E9" s="47"/>
      <c r="F9" s="49"/>
      <c r="G9" s="48"/>
      <c r="H9" s="50"/>
      <c r="I9" s="364"/>
    </row>
    <row r="10" spans="1:21" ht="15.45">
      <c r="A10" s="48"/>
      <c r="B10" s="48"/>
      <c r="C10" s="47"/>
      <c r="D10" s="48"/>
      <c r="E10" s="48"/>
      <c r="F10" s="49"/>
      <c r="G10" s="48"/>
      <c r="H10" s="50"/>
      <c r="I10" s="364"/>
    </row>
    <row r="11" spans="1:21" ht="15.45" hidden="1">
      <c r="A11" s="48"/>
      <c r="B11" s="48"/>
      <c r="C11" s="47"/>
      <c r="D11" s="48"/>
      <c r="E11" s="48"/>
      <c r="F11" s="49"/>
      <c r="G11" s="48"/>
      <c r="H11" s="50"/>
      <c r="I11" s="364"/>
    </row>
    <row r="12" spans="1:21" ht="15.45" hidden="1">
      <c r="A12" s="48"/>
      <c r="B12" s="48"/>
      <c r="C12" s="47"/>
      <c r="D12" s="48"/>
      <c r="E12" s="48"/>
      <c r="F12" s="49"/>
      <c r="G12" s="48"/>
      <c r="H12" s="50"/>
      <c r="I12" s="364"/>
    </row>
    <row r="13" spans="1:21" ht="15.45" hidden="1">
      <c r="A13" s="48"/>
      <c r="B13" s="48"/>
      <c r="C13" s="47"/>
      <c r="D13" s="48"/>
      <c r="E13" s="48"/>
      <c r="F13" s="49"/>
      <c r="G13" s="48"/>
      <c r="H13" s="50"/>
      <c r="I13" s="364"/>
    </row>
    <row r="14" spans="1:21" ht="15.45" hidden="1">
      <c r="A14" s="48"/>
      <c r="B14" s="48"/>
      <c r="C14" s="47"/>
      <c r="D14" s="48"/>
      <c r="E14" s="48"/>
      <c r="F14" s="49"/>
      <c r="G14" s="48"/>
      <c r="H14" s="50"/>
      <c r="I14" s="364"/>
    </row>
    <row r="15" spans="1:21" ht="15.45" hidden="1">
      <c r="A15" s="48"/>
      <c r="B15" s="48"/>
      <c r="C15" s="47"/>
      <c r="D15" s="48"/>
      <c r="E15" s="48"/>
      <c r="F15" s="49"/>
      <c r="G15" s="48"/>
      <c r="H15" s="50"/>
      <c r="I15" s="364"/>
    </row>
    <row r="16" spans="1:21" ht="15.45" hidden="1">
      <c r="A16" s="48"/>
      <c r="B16" s="48"/>
      <c r="C16" s="47"/>
      <c r="D16" s="48"/>
      <c r="E16" s="48"/>
      <c r="F16" s="49"/>
      <c r="G16" s="48"/>
      <c r="H16" s="50"/>
      <c r="I16" s="364"/>
    </row>
    <row r="17" spans="1:9" ht="15.45" hidden="1">
      <c r="A17" s="48"/>
      <c r="B17" s="48"/>
      <c r="C17" s="47"/>
      <c r="D17" s="48"/>
      <c r="E17" s="48"/>
      <c r="F17" s="49"/>
      <c r="G17" s="48"/>
      <c r="H17" s="50"/>
      <c r="I17" s="364"/>
    </row>
    <row r="18" spans="1:9" ht="21.75" customHeight="1">
      <c r="A18" s="48"/>
      <c r="B18" s="48"/>
      <c r="C18" s="47"/>
      <c r="D18" s="48"/>
      <c r="E18" s="48"/>
      <c r="F18" s="49"/>
      <c r="G18" s="48"/>
      <c r="H18" s="50"/>
      <c r="I18" s="364"/>
    </row>
    <row r="19" spans="1:9" ht="15" customHeight="1">
      <c r="A19" s="48"/>
      <c r="B19" s="48"/>
      <c r="C19" s="47"/>
      <c r="D19" s="48"/>
      <c r="E19" s="48"/>
      <c r="F19" s="49"/>
      <c r="G19" s="48"/>
      <c r="H19" s="50"/>
      <c r="I19" s="364"/>
    </row>
    <row r="20" spans="1:9" ht="15.45">
      <c r="A20" s="48"/>
      <c r="B20" s="48"/>
      <c r="C20" s="47"/>
      <c r="D20" s="48"/>
      <c r="E20" s="48"/>
      <c r="F20" s="49"/>
      <c r="G20" s="48"/>
      <c r="H20" s="50"/>
      <c r="I20" s="364"/>
    </row>
    <row r="21" spans="1:9" ht="15.45">
      <c r="A21" s="48"/>
      <c r="B21" s="48"/>
      <c r="C21" s="47"/>
      <c r="D21" s="48"/>
      <c r="E21" s="48"/>
      <c r="F21" s="49"/>
      <c r="G21" s="48"/>
      <c r="H21" s="50"/>
      <c r="I21" s="364"/>
    </row>
    <row r="22" spans="1:9" ht="15.45">
      <c r="A22" s="48"/>
      <c r="B22" s="48"/>
      <c r="C22" s="47"/>
      <c r="D22" s="48"/>
      <c r="E22" s="48"/>
      <c r="F22" s="49"/>
      <c r="G22" s="48"/>
      <c r="H22" s="50"/>
      <c r="I22" s="364"/>
    </row>
    <row r="23" spans="1:9" ht="15.45">
      <c r="A23" s="48"/>
      <c r="B23" s="48"/>
      <c r="C23" s="47"/>
      <c r="D23" s="48"/>
      <c r="E23" s="48"/>
      <c r="F23" s="49"/>
      <c r="G23" s="48"/>
      <c r="H23" s="50"/>
      <c r="I23" s="364"/>
    </row>
    <row r="24" spans="1:9" ht="15.45">
      <c r="A24" s="48"/>
      <c r="B24" s="48"/>
      <c r="C24" s="47"/>
      <c r="D24" s="48"/>
      <c r="E24" s="48"/>
      <c r="F24" s="49"/>
      <c r="G24" s="48"/>
      <c r="H24" s="50"/>
      <c r="I24" s="364"/>
    </row>
    <row r="25" spans="1:9" ht="15.45" hidden="1">
      <c r="A25" s="48"/>
      <c r="B25" s="48"/>
      <c r="C25" s="47"/>
      <c r="D25" s="48"/>
      <c r="E25" s="48"/>
      <c r="F25" s="49"/>
      <c r="G25" s="48"/>
      <c r="H25" s="50"/>
      <c r="I25" s="364"/>
    </row>
    <row r="26" spans="1:9" ht="15.45" hidden="1">
      <c r="A26" s="48"/>
      <c r="B26" s="48"/>
      <c r="C26" s="47"/>
      <c r="D26" s="48"/>
      <c r="E26" s="48"/>
      <c r="F26" s="49"/>
      <c r="G26" s="48"/>
      <c r="H26" s="50"/>
      <c r="I26" s="364"/>
    </row>
    <row r="27" spans="1:9" ht="15.45" hidden="1">
      <c r="A27" s="48"/>
      <c r="B27" s="48"/>
      <c r="C27" s="47"/>
      <c r="D27" s="48"/>
      <c r="E27" s="48"/>
      <c r="F27" s="49"/>
      <c r="G27" s="48"/>
      <c r="H27" s="50"/>
      <c r="I27" s="364"/>
    </row>
    <row r="28" spans="1:9" ht="15.45" hidden="1">
      <c r="A28" s="48"/>
      <c r="B28" s="48"/>
      <c r="C28" s="47"/>
      <c r="D28" s="48"/>
      <c r="E28" s="48"/>
      <c r="F28" s="49"/>
      <c r="G28" s="48"/>
      <c r="H28" s="50"/>
      <c r="I28" s="364"/>
    </row>
    <row r="29" spans="1:9" ht="15.45" hidden="1">
      <c r="A29" s="48"/>
      <c r="B29" s="48"/>
      <c r="C29" s="47"/>
      <c r="D29" s="48"/>
      <c r="E29" s="48"/>
      <c r="F29" s="49"/>
      <c r="G29" s="48"/>
      <c r="H29" s="50"/>
      <c r="I29" s="364"/>
    </row>
    <row r="30" spans="1:9" ht="15.45" hidden="1">
      <c r="A30" s="48"/>
      <c r="B30" s="48"/>
      <c r="C30" s="47"/>
      <c r="D30" s="48"/>
      <c r="E30" s="48"/>
      <c r="F30" s="49"/>
      <c r="G30" s="48"/>
      <c r="H30" s="50"/>
      <c r="I30" s="364"/>
    </row>
    <row r="31" spans="1:9" ht="15.45" hidden="1">
      <c r="A31" s="48"/>
      <c r="B31" s="48"/>
      <c r="C31" s="47"/>
      <c r="D31" s="48"/>
      <c r="E31" s="48"/>
      <c r="F31" s="49"/>
      <c r="G31" s="48"/>
      <c r="H31" s="50"/>
      <c r="I31" s="364"/>
    </row>
    <row r="32" spans="1:9" ht="15.45" hidden="1">
      <c r="A32" s="48"/>
      <c r="B32" s="48"/>
      <c r="C32" s="47"/>
      <c r="D32" s="48"/>
      <c r="E32" s="48"/>
      <c r="F32" s="49"/>
      <c r="G32" s="48"/>
      <c r="H32" s="50"/>
      <c r="I32" s="364"/>
    </row>
    <row r="33" spans="1:28" ht="15.45" hidden="1">
      <c r="A33" s="48"/>
      <c r="B33" s="48"/>
      <c r="C33" s="47"/>
      <c r="D33" s="48"/>
      <c r="E33" s="48"/>
      <c r="F33" s="49"/>
      <c r="G33" s="48"/>
      <c r="H33" s="50"/>
      <c r="I33" s="364"/>
    </row>
    <row r="34" spans="1:28" ht="15.45" hidden="1">
      <c r="A34" s="48"/>
      <c r="B34" s="48"/>
      <c r="C34" s="47"/>
      <c r="D34" s="48"/>
      <c r="E34" s="48"/>
      <c r="F34" s="49"/>
      <c r="G34" s="48"/>
      <c r="H34" s="50"/>
      <c r="I34" s="364"/>
    </row>
    <row r="35" spans="1:28" ht="15.45">
      <c r="A35" s="48"/>
      <c r="B35" s="48"/>
      <c r="C35" s="47"/>
      <c r="D35" s="48"/>
      <c r="E35" s="48"/>
      <c r="F35" s="49"/>
      <c r="G35" s="48"/>
      <c r="H35" s="50"/>
      <c r="I35" s="364"/>
    </row>
    <row r="36" spans="1:28" ht="15.45">
      <c r="A36" s="48"/>
      <c r="B36" s="48"/>
      <c r="C36" s="47"/>
      <c r="D36" s="48"/>
      <c r="E36" s="48"/>
      <c r="F36" s="49"/>
      <c r="G36" s="48"/>
      <c r="H36" s="50"/>
      <c r="I36" s="364"/>
    </row>
    <row r="37" spans="1:28" ht="15.45">
      <c r="A37" s="48"/>
      <c r="B37" s="48"/>
      <c r="C37" s="47"/>
      <c r="D37" s="48"/>
      <c r="E37" s="48"/>
      <c r="F37" s="49"/>
      <c r="G37" s="48"/>
      <c r="H37" s="50"/>
      <c r="I37" s="364"/>
    </row>
    <row r="38" spans="1:28" ht="15.45">
      <c r="A38" s="48"/>
      <c r="B38" s="48"/>
      <c r="C38" s="47"/>
      <c r="D38" s="48"/>
      <c r="E38" s="48"/>
      <c r="F38" s="49"/>
      <c r="G38" s="48"/>
      <c r="H38" s="50"/>
      <c r="I38" s="364"/>
    </row>
    <row r="39" spans="1:28" ht="15.45">
      <c r="A39" s="48"/>
      <c r="B39" s="48"/>
      <c r="C39" s="47"/>
      <c r="D39" s="48"/>
      <c r="E39" s="48"/>
      <c r="F39" s="49"/>
      <c r="G39" s="48"/>
      <c r="H39" s="50"/>
      <c r="I39" s="364"/>
    </row>
    <row r="40" spans="1:28" ht="15.45">
      <c r="A40" s="48"/>
      <c r="B40" s="48"/>
      <c r="C40" s="47"/>
      <c r="D40" s="48"/>
      <c r="E40" s="48"/>
      <c r="F40" s="49"/>
      <c r="G40" s="48"/>
      <c r="H40" s="50"/>
      <c r="I40" s="364"/>
    </row>
    <row r="41" spans="1:28" ht="15.45">
      <c r="A41" s="48"/>
      <c r="B41" s="48"/>
      <c r="C41" s="47"/>
      <c r="D41" s="48"/>
      <c r="E41" s="48"/>
      <c r="F41" s="49"/>
      <c r="G41" s="48"/>
      <c r="H41" s="50"/>
      <c r="I41" s="364"/>
    </row>
    <row r="42" spans="1:28" ht="15" hidden="1" customHeight="1">
      <c r="A42" s="48"/>
      <c r="B42" s="48"/>
      <c r="C42" s="47"/>
      <c r="D42" s="48"/>
      <c r="E42" s="48"/>
      <c r="F42" s="49"/>
      <c r="G42" s="48"/>
      <c r="H42" s="50"/>
      <c r="I42" s="364"/>
    </row>
    <row r="43" spans="1:28" ht="15" hidden="1" customHeight="1">
      <c r="A43" s="48"/>
      <c r="B43" s="48"/>
      <c r="C43" s="47"/>
      <c r="D43" s="48"/>
      <c r="E43" s="48"/>
      <c r="F43" s="49"/>
      <c r="G43" s="48"/>
      <c r="H43" s="50"/>
      <c r="I43" s="364"/>
      <c r="Z43" s="40"/>
      <c r="AB43" s="41"/>
    </row>
    <row r="44" spans="1:28" ht="15" hidden="1" customHeight="1">
      <c r="A44" s="48"/>
      <c r="B44" s="48"/>
      <c r="C44" s="47"/>
      <c r="D44" s="48"/>
      <c r="E44" s="48"/>
      <c r="F44" s="49"/>
      <c r="G44" s="48"/>
      <c r="H44" s="50"/>
      <c r="I44" s="364"/>
      <c r="Z44" s="40"/>
      <c r="AB44" s="42"/>
    </row>
    <row r="45" spans="1:28" ht="15" customHeight="1">
      <c r="A45" s="48"/>
      <c r="B45" s="48"/>
      <c r="C45" s="47"/>
      <c r="D45" s="48"/>
      <c r="E45" s="48"/>
      <c r="F45" s="49"/>
      <c r="G45" s="48"/>
      <c r="H45" s="50"/>
      <c r="I45" s="364"/>
      <c r="Z45" s="43"/>
      <c r="AB45" s="29"/>
    </row>
    <row r="46" spans="1:28" ht="15.45">
      <c r="A46" s="48"/>
      <c r="B46" s="48"/>
      <c r="C46" s="47"/>
      <c r="D46" s="48"/>
      <c r="E46" s="48"/>
      <c r="F46" s="49"/>
      <c r="G46" s="48"/>
      <c r="H46" s="50"/>
      <c r="I46" s="364"/>
    </row>
    <row r="47" spans="1:28" ht="15.45">
      <c r="A47" s="48"/>
      <c r="B47" s="48"/>
      <c r="C47" s="47"/>
      <c r="D47" s="48"/>
      <c r="E47" s="48"/>
      <c r="F47" s="49"/>
      <c r="G47" s="48"/>
      <c r="H47" s="50"/>
      <c r="I47" s="364"/>
      <c r="Z47" s="43"/>
    </row>
    <row r="48" spans="1:28" ht="15.45">
      <c r="A48" s="48"/>
      <c r="B48" s="82" t="s">
        <v>32</v>
      </c>
      <c r="C48" s="47"/>
      <c r="D48" s="48"/>
      <c r="E48" s="48"/>
      <c r="F48" s="49"/>
      <c r="G48" s="48"/>
      <c r="H48" s="351" t="s">
        <v>142</v>
      </c>
      <c r="I48" s="364"/>
      <c r="Z48" s="43"/>
    </row>
    <row r="49" spans="1:26">
      <c r="A49" s="97"/>
      <c r="B49" s="97"/>
      <c r="C49" s="97"/>
      <c r="D49" s="97"/>
      <c r="E49" s="97"/>
      <c r="F49" s="97"/>
      <c r="G49" s="97"/>
      <c r="H49" s="97"/>
      <c r="I49" s="363"/>
    </row>
    <row r="50" spans="1:26">
      <c r="A50" s="97"/>
      <c r="B50" s="97"/>
      <c r="C50" s="97"/>
      <c r="D50" s="97"/>
      <c r="E50" s="97"/>
      <c r="F50" s="97"/>
      <c r="G50" s="97"/>
      <c r="H50" s="97"/>
      <c r="I50" s="363"/>
    </row>
    <row r="51" spans="1:26">
      <c r="A51" s="51"/>
      <c r="B51" s="52"/>
      <c r="C51" s="51"/>
      <c r="D51" s="48"/>
      <c r="E51" s="48"/>
      <c r="F51" s="49"/>
      <c r="G51" s="48"/>
      <c r="H51" s="50"/>
      <c r="I51" s="364"/>
      <c r="Z51" s="43"/>
    </row>
    <row r="52" spans="1:26" ht="18.45">
      <c r="A52" s="55"/>
      <c r="B52" s="48"/>
      <c r="C52" s="48"/>
      <c r="D52" s="48"/>
      <c r="E52" s="48"/>
      <c r="F52" s="48"/>
      <c r="G52" s="48"/>
      <c r="H52" s="48"/>
      <c r="I52" s="364"/>
      <c r="K52" s="49"/>
      <c r="M52" s="50"/>
      <c r="N52" s="368"/>
    </row>
    <row r="53" spans="1:26">
      <c r="A53" s="51"/>
      <c r="B53" s="52"/>
      <c r="C53" s="51"/>
      <c r="D53" s="48"/>
      <c r="E53" s="48"/>
      <c r="F53" s="49"/>
      <c r="G53" s="48"/>
      <c r="H53" s="50"/>
      <c r="I53" s="364"/>
      <c r="Z53" s="43"/>
    </row>
    <row r="54" spans="1:26">
      <c r="A54" s="51"/>
      <c r="B54" s="52"/>
      <c r="C54" s="51"/>
      <c r="D54" s="48"/>
      <c r="E54" s="48"/>
      <c r="F54" s="49"/>
      <c r="G54" s="48"/>
      <c r="H54" s="50"/>
      <c r="I54" s="364"/>
      <c r="Z54" s="43"/>
    </row>
    <row r="55" spans="1:26">
      <c r="A55" s="51"/>
      <c r="B55" s="52"/>
      <c r="C55" s="51"/>
      <c r="D55" s="48"/>
      <c r="E55" s="48"/>
      <c r="F55" s="49"/>
      <c r="G55" s="48"/>
      <c r="H55" s="50"/>
      <c r="I55" s="364"/>
      <c r="Z55" s="43"/>
    </row>
    <row r="56" spans="1:26" ht="8.4" customHeight="1">
      <c r="A56" s="51"/>
      <c r="B56" s="52"/>
      <c r="C56" s="51"/>
      <c r="D56" s="48"/>
      <c r="E56" s="48"/>
      <c r="F56" s="49"/>
      <c r="G56" s="48"/>
      <c r="H56" s="50"/>
      <c r="I56" s="364"/>
      <c r="Z56" s="43"/>
    </row>
    <row r="57" spans="1:26">
      <c r="A57" s="51"/>
      <c r="B57" s="52"/>
      <c r="C57" s="51"/>
      <c r="D57" s="48"/>
      <c r="E57" s="48"/>
      <c r="F57" s="49"/>
      <c r="G57" s="48"/>
      <c r="H57" s="50"/>
      <c r="I57" s="364"/>
      <c r="Z57" s="43"/>
    </row>
    <row r="58" spans="1:26">
      <c r="A58" s="51"/>
      <c r="B58" s="52"/>
      <c r="C58" s="51"/>
      <c r="D58" s="48"/>
      <c r="E58" s="48"/>
      <c r="F58" s="49"/>
      <c r="G58" s="48"/>
      <c r="H58" s="50"/>
      <c r="I58" s="364"/>
      <c r="Z58" s="43"/>
    </row>
    <row r="59" spans="1:26">
      <c r="A59" s="51"/>
      <c r="B59" s="52"/>
      <c r="C59" s="51"/>
      <c r="D59" s="48"/>
      <c r="E59" s="48"/>
      <c r="F59" s="49"/>
      <c r="G59" s="48"/>
      <c r="H59" s="50"/>
      <c r="I59" s="364"/>
      <c r="Z59" s="43"/>
    </row>
    <row r="60" spans="1:26" s="3" customFormat="1" ht="15.45">
      <c r="A60" s="53"/>
      <c r="B60" s="54"/>
      <c r="C60" s="54"/>
      <c r="D60" s="54"/>
      <c r="E60" s="54"/>
      <c r="F60" s="54"/>
      <c r="G60" s="54"/>
      <c r="H60" s="54"/>
      <c r="I60" s="365"/>
      <c r="J60" s="54"/>
      <c r="K60" s="56"/>
      <c r="L60" s="54"/>
      <c r="M60" s="57"/>
      <c r="N60" s="369"/>
      <c r="O60" s="54"/>
      <c r="P60" s="54"/>
      <c r="Q60" s="54"/>
      <c r="R60" s="54"/>
      <c r="S60" s="54"/>
      <c r="T60" s="54"/>
      <c r="U60" s="54"/>
    </row>
    <row r="61" spans="1:26" s="3" customFormat="1" ht="10.85" customHeight="1">
      <c r="A61" s="47"/>
      <c r="B61" s="54"/>
      <c r="C61" s="54"/>
      <c r="D61" s="54"/>
      <c r="E61" s="54"/>
      <c r="F61" s="54"/>
      <c r="G61" s="54"/>
      <c r="H61" s="54"/>
      <c r="I61" s="365"/>
      <c r="J61" s="54"/>
      <c r="K61" s="56"/>
      <c r="L61" s="370"/>
      <c r="M61" s="57"/>
      <c r="N61" s="369"/>
      <c r="O61" s="54"/>
      <c r="P61" s="54"/>
      <c r="Q61" s="54"/>
      <c r="R61" s="54"/>
      <c r="S61" s="54"/>
      <c r="T61" s="54"/>
      <c r="U61" s="54"/>
    </row>
    <row r="62" spans="1:26" s="3" customFormat="1" ht="18.899999999999999">
      <c r="A62" s="47"/>
      <c r="B62" s="54"/>
      <c r="C62" s="54"/>
      <c r="D62" s="54"/>
      <c r="E62" s="54"/>
      <c r="F62" s="54"/>
      <c r="G62" s="54"/>
      <c r="H62" s="54"/>
      <c r="I62" s="365"/>
      <c r="J62" s="54"/>
      <c r="K62" s="56"/>
      <c r="L62" s="371"/>
      <c r="M62" s="57"/>
      <c r="N62" s="369"/>
      <c r="O62" s="54"/>
      <c r="P62" s="54"/>
      <c r="Q62" s="54"/>
      <c r="R62" s="54"/>
      <c r="S62" s="54"/>
      <c r="T62" s="54"/>
      <c r="U62" s="54"/>
    </row>
    <row r="63" spans="1:26">
      <c r="A63" s="48"/>
      <c r="B63" s="48"/>
      <c r="C63" s="48"/>
      <c r="D63" s="48"/>
      <c r="E63" s="48"/>
      <c r="F63" s="48"/>
      <c r="G63" s="48"/>
      <c r="H63" s="48"/>
      <c r="I63" s="364"/>
      <c r="K63" s="49"/>
      <c r="M63" s="50"/>
      <c r="N63" s="368"/>
    </row>
    <row r="64" spans="1:26" ht="9.65" customHeight="1">
      <c r="A64" s="55"/>
      <c r="B64" s="48"/>
      <c r="C64" s="48"/>
      <c r="D64" s="48"/>
      <c r="E64" s="48"/>
      <c r="F64" s="48"/>
      <c r="G64" s="48"/>
      <c r="H64" s="48"/>
      <c r="I64" s="364"/>
      <c r="K64" s="49"/>
      <c r="M64" s="50"/>
      <c r="N64" s="368"/>
    </row>
    <row r="65" spans="1:26">
      <c r="A65" s="48"/>
      <c r="B65" s="48"/>
      <c r="C65" s="48"/>
      <c r="D65" s="48"/>
      <c r="E65" s="48"/>
      <c r="F65" s="48"/>
      <c r="G65" s="48"/>
      <c r="H65" s="48"/>
      <c r="I65" s="364"/>
      <c r="K65" s="49"/>
      <c r="M65" s="50"/>
      <c r="N65" s="368"/>
    </row>
    <row r="66" spans="1:26">
      <c r="A66" s="48"/>
      <c r="B66" s="48"/>
      <c r="C66" s="48"/>
      <c r="D66" s="48"/>
      <c r="E66" s="48"/>
      <c r="F66" s="48"/>
      <c r="G66" s="48"/>
      <c r="H66" s="48"/>
      <c r="I66" s="366"/>
      <c r="K66" s="49"/>
      <c r="M66" s="50"/>
      <c r="N66" s="368"/>
    </row>
    <row r="67" spans="1:26">
      <c r="A67" s="48"/>
      <c r="B67" s="48"/>
      <c r="C67" s="48"/>
      <c r="D67" s="48"/>
      <c r="E67" s="48"/>
      <c r="F67" s="48"/>
      <c r="G67" s="48"/>
      <c r="H67" s="48"/>
      <c r="I67" s="364"/>
      <c r="K67" s="49"/>
      <c r="M67" s="50"/>
      <c r="N67" s="368"/>
    </row>
    <row r="68" spans="1:26">
      <c r="A68" s="48"/>
      <c r="B68" s="48"/>
      <c r="C68" s="48"/>
      <c r="D68" s="48"/>
      <c r="E68" s="48"/>
      <c r="F68" s="48"/>
      <c r="G68" s="48"/>
      <c r="H68" s="48"/>
      <c r="I68" s="364"/>
      <c r="K68" s="49"/>
      <c r="M68" s="50"/>
      <c r="N68" s="368"/>
    </row>
    <row r="69" spans="1:26">
      <c r="A69" s="51"/>
      <c r="B69" s="52"/>
      <c r="C69" s="51"/>
      <c r="D69" s="48"/>
      <c r="E69" s="48"/>
      <c r="F69" s="49"/>
      <c r="G69" s="48"/>
      <c r="H69" s="50"/>
      <c r="I69" s="364"/>
      <c r="Z69" s="43"/>
    </row>
    <row r="70" spans="1:26">
      <c r="A70" s="51"/>
      <c r="B70" s="52"/>
      <c r="C70" s="51"/>
      <c r="D70" s="48"/>
      <c r="E70" s="48"/>
      <c r="F70" s="49"/>
      <c r="G70" s="48"/>
      <c r="H70" s="50"/>
      <c r="I70" s="364"/>
      <c r="Z70" s="43"/>
    </row>
    <row r="71" spans="1:26">
      <c r="A71" s="51"/>
      <c r="B71" s="52"/>
      <c r="C71" s="51"/>
      <c r="D71" s="48"/>
      <c r="E71" s="48"/>
      <c r="F71" s="49"/>
      <c r="G71" s="48"/>
      <c r="H71" s="50"/>
      <c r="I71" s="364"/>
      <c r="Z71" s="43"/>
    </row>
    <row r="72" spans="1:26">
      <c r="A72" s="51"/>
      <c r="B72" s="52"/>
      <c r="C72" s="51"/>
      <c r="D72" s="48"/>
      <c r="E72" s="48"/>
      <c r="F72" s="49"/>
      <c r="G72" s="48"/>
      <c r="H72" s="50"/>
      <c r="I72" s="364"/>
      <c r="Z72" s="43"/>
    </row>
    <row r="73" spans="1:26">
      <c r="A73" s="51"/>
      <c r="B73" s="52"/>
      <c r="C73" s="51"/>
      <c r="D73" s="48"/>
      <c r="E73" s="48"/>
      <c r="F73" s="49"/>
      <c r="G73" s="48"/>
      <c r="H73" s="50"/>
      <c r="I73" s="364"/>
      <c r="Z73" s="43"/>
    </row>
    <row r="74" spans="1:26">
      <c r="A74" s="51"/>
      <c r="B74" s="52"/>
      <c r="C74" s="51"/>
      <c r="D74" s="48"/>
      <c r="E74" s="48"/>
      <c r="F74" s="49"/>
      <c r="G74" s="48"/>
      <c r="H74" s="50"/>
      <c r="I74" s="364"/>
      <c r="Z74" s="43"/>
    </row>
    <row r="75" spans="1:26">
      <c r="A75" s="51"/>
      <c r="B75" s="52"/>
      <c r="C75" s="51"/>
      <c r="D75" s="48"/>
      <c r="E75" s="48"/>
      <c r="F75" s="49"/>
      <c r="G75" s="48"/>
      <c r="H75" s="50"/>
      <c r="I75" s="364"/>
      <c r="Z75" s="43"/>
    </row>
    <row r="76" spans="1:26">
      <c r="A76" s="51"/>
      <c r="B76" s="52"/>
      <c r="C76" s="51"/>
      <c r="D76" s="48"/>
      <c r="E76" s="48"/>
      <c r="F76" s="49"/>
      <c r="G76" s="48"/>
      <c r="H76" s="50"/>
      <c r="I76" s="364"/>
      <c r="Z76" s="43"/>
    </row>
    <row r="77" spans="1:26">
      <c r="A77" s="51"/>
      <c r="B77" s="52"/>
      <c r="C77" s="51"/>
      <c r="D77" s="48"/>
      <c r="E77" s="48"/>
      <c r="F77" s="49"/>
      <c r="G77" s="48"/>
      <c r="H77" s="50"/>
      <c r="I77" s="364"/>
      <c r="Z77" s="43"/>
    </row>
    <row r="78" spans="1:26">
      <c r="A78" s="51"/>
      <c r="B78" s="52"/>
      <c r="C78" s="51"/>
      <c r="D78" s="48"/>
      <c r="E78" s="48"/>
      <c r="F78" s="49"/>
      <c r="G78" s="48"/>
      <c r="H78" s="50"/>
      <c r="I78" s="364"/>
      <c r="Z78" s="43"/>
    </row>
    <row r="79" spans="1:26">
      <c r="A79" s="51"/>
      <c r="B79" s="52"/>
      <c r="C79" s="51"/>
      <c r="D79" s="48"/>
      <c r="E79" s="48"/>
      <c r="F79" s="49"/>
      <c r="G79" s="48"/>
      <c r="H79" s="50"/>
      <c r="I79" s="364"/>
      <c r="Z79" s="43"/>
    </row>
    <row r="80" spans="1:26">
      <c r="A80" s="51"/>
      <c r="B80" s="52"/>
      <c r="C80" s="51"/>
      <c r="D80" s="48"/>
      <c r="E80" s="48"/>
      <c r="F80" s="49"/>
      <c r="G80" s="48"/>
      <c r="H80" s="50"/>
      <c r="I80" s="364"/>
      <c r="Z80" s="43"/>
    </row>
    <row r="81" spans="1:26">
      <c r="A81" s="51"/>
      <c r="B81" s="52"/>
      <c r="C81" s="51"/>
      <c r="D81" s="48"/>
      <c r="E81" s="48"/>
      <c r="F81" s="49"/>
      <c r="G81" s="48"/>
      <c r="H81" s="50"/>
      <c r="I81" s="364"/>
      <c r="Z81" s="43"/>
    </row>
    <row r="82" spans="1:26">
      <c r="A82" s="51"/>
      <c r="B82" s="52"/>
      <c r="C82" s="51"/>
      <c r="D82" s="48"/>
      <c r="E82" s="48"/>
      <c r="F82" s="49"/>
      <c r="G82" s="48"/>
      <c r="H82" s="50"/>
      <c r="I82" s="364"/>
      <c r="Z82" s="43"/>
    </row>
    <row r="83" spans="1:26">
      <c r="A83" s="51"/>
      <c r="B83" s="52"/>
      <c r="C83" s="51"/>
      <c r="D83" s="48"/>
      <c r="E83" s="48"/>
      <c r="F83" s="49"/>
      <c r="G83" s="48"/>
      <c r="H83" s="50"/>
      <c r="I83" s="364"/>
      <c r="Z83" s="43"/>
    </row>
    <row r="84" spans="1:26">
      <c r="A84" s="51"/>
      <c r="B84" s="52"/>
      <c r="C84" s="51"/>
      <c r="D84" s="48"/>
      <c r="E84" s="48"/>
      <c r="F84" s="49"/>
      <c r="G84" s="48"/>
      <c r="H84" s="50"/>
      <c r="I84" s="364"/>
      <c r="Z84" s="43"/>
    </row>
    <row r="85" spans="1:26">
      <c r="A85" s="51"/>
      <c r="B85" s="52"/>
      <c r="C85" s="51"/>
      <c r="D85" s="48"/>
      <c r="E85" s="48"/>
      <c r="F85" s="49"/>
      <c r="G85" s="48"/>
      <c r="H85" s="50"/>
      <c r="I85" s="364"/>
      <c r="Z85" s="43"/>
    </row>
    <row r="86" spans="1:26">
      <c r="A86" s="97"/>
      <c r="B86" s="97"/>
      <c r="C86" s="97"/>
      <c r="D86" s="97"/>
      <c r="E86" s="97"/>
      <c r="F86" s="97"/>
      <c r="G86" s="97"/>
      <c r="H86" s="97"/>
      <c r="I86" s="363"/>
    </row>
    <row r="87" spans="1:26" s="3" customFormat="1" ht="15">
      <c r="A87" s="54"/>
      <c r="B87" s="54"/>
      <c r="C87" s="54"/>
      <c r="D87" s="54"/>
      <c r="E87" s="54"/>
      <c r="F87" s="56"/>
      <c r="G87" s="54"/>
      <c r="H87" s="57"/>
      <c r="I87" s="365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</row>
    <row r="88" spans="1:26" s="3" customFormat="1" ht="15">
      <c r="A88" s="54"/>
      <c r="B88" s="54"/>
      <c r="C88" s="54"/>
      <c r="D88" s="54"/>
      <c r="E88" s="54"/>
      <c r="F88" s="56"/>
      <c r="G88" s="54"/>
      <c r="H88" s="57"/>
      <c r="I88" s="365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</row>
    <row r="89" spans="1:26" s="3" customFormat="1" ht="15">
      <c r="F89" s="18"/>
      <c r="H89" s="19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</row>
    <row r="93" spans="1:26">
      <c r="D93" s="14"/>
    </row>
    <row r="95" spans="1:26">
      <c r="A95" s="97"/>
      <c r="B95" s="97"/>
      <c r="C95" s="97"/>
      <c r="D95" s="97"/>
      <c r="E95" s="97"/>
      <c r="F95" s="97"/>
      <c r="G95" s="97"/>
      <c r="H95" s="97"/>
      <c r="I95" s="363"/>
    </row>
    <row r="99" spans="1:28" s="13" customFormat="1" ht="13.5" customHeight="1">
      <c r="A99"/>
      <c r="B99"/>
      <c r="C99"/>
      <c r="D99"/>
      <c r="E99"/>
      <c r="F99" s="8"/>
      <c r="G99"/>
      <c r="H99" s="17"/>
      <c r="I99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/>
      <c r="W99"/>
      <c r="X99"/>
      <c r="Y99"/>
      <c r="Z99"/>
      <c r="AA99"/>
      <c r="AB99"/>
    </row>
    <row r="104" spans="1:28" s="13" customFormat="1" ht="10.5" customHeight="1">
      <c r="A104"/>
      <c r="B104"/>
      <c r="C104"/>
      <c r="D104"/>
      <c r="E104"/>
      <c r="F104" s="8"/>
      <c r="G104"/>
      <c r="H104" s="17"/>
      <c r="I104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/>
      <c r="W104"/>
      <c r="X104"/>
      <c r="Y104"/>
      <c r="Z104"/>
      <c r="AA104"/>
      <c r="AB104"/>
    </row>
    <row r="109" spans="1:28" s="13" customFormat="1" ht="10.5" customHeight="1">
      <c r="A109"/>
      <c r="B109"/>
      <c r="C109"/>
      <c r="D109"/>
      <c r="E109"/>
      <c r="F109" s="8"/>
      <c r="G109"/>
      <c r="H109" s="17"/>
      <c r="I109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/>
      <c r="W109"/>
      <c r="X109"/>
      <c r="Y109"/>
      <c r="Z109"/>
      <c r="AA109"/>
      <c r="AB109"/>
    </row>
    <row r="112" spans="1:28" s="13" customFormat="1">
      <c r="A112" s="33"/>
      <c r="B112" s="33"/>
      <c r="C112" s="34"/>
      <c r="D112" s="32"/>
      <c r="E112" s="32"/>
      <c r="F112" s="35"/>
      <c r="G112" s="32"/>
      <c r="H112" s="36"/>
      <c r="I112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/>
      <c r="W112"/>
      <c r="X112"/>
      <c r="Y112"/>
      <c r="Z112"/>
      <c r="AA112"/>
      <c r="AB112"/>
    </row>
    <row r="115" ht="9.75" customHeight="1"/>
    <row r="117" ht="18.75" customHeight="1"/>
    <row r="119" ht="10.5" customHeight="1"/>
  </sheetData>
  <sheetProtection formatRows="0"/>
  <hyperlinks>
    <hyperlink ref="B48" r:id="rId1" xr:uid="{00000000-0004-0000-0000-000000000000}"/>
    <hyperlink ref="H48" r:id="rId2" xr:uid="{00000000-0004-0000-0000-000001000000}"/>
  </hyperlinks>
  <pageMargins left="0.59055118110236227" right="0.23622047244094491" top="0.98425196850393704" bottom="0.6692913385826772" header="0.35433070866141736" footer="0.27559055118110237"/>
  <pageSetup paperSize="9" orientation="landscape" horizontalDpi="4294967293" verticalDpi="96" r:id="rId3"/>
  <headerFooter alignWithMargins="0">
    <oddHeader>&amp;LUsikkerhedsanalyser&amp;CTidlig kvalitetssikring - RObuste Budgetter &amp; Planer&amp;R&amp;G</oddHeader>
    <oddFooter>&amp;LDato: &amp;D
Fil: &amp;F&amp;C&amp;A&amp;RSide &amp;P/&amp;N</oddFooter>
  </headerFooter>
  <rowBreaks count="1" manualBreakCount="1">
    <brk id="49" max="8" man="1"/>
  </rowBreaks>
  <drawing r:id="rId4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FF00"/>
  </sheetPr>
  <dimension ref="A1:BS200"/>
  <sheetViews>
    <sheetView zoomScale="75" zoomScaleNormal="75" workbookViewId="0">
      <pane ySplit="8" topLeftCell="A9" activePane="bottomLeft" state="frozen"/>
      <selection pane="bottomLeft" activeCell="BU2" sqref="BU2"/>
    </sheetView>
  </sheetViews>
  <sheetFormatPr defaultRowHeight="12.45"/>
  <cols>
    <col min="1" max="2" width="7.07421875" customWidth="1"/>
    <col min="3" max="3" width="35.3046875" customWidth="1"/>
    <col min="4" max="4" width="9.3046875" bestFit="1" customWidth="1"/>
    <col min="5" max="5" width="9.69140625" customWidth="1"/>
    <col min="6" max="6" width="9.3046875" bestFit="1" customWidth="1"/>
    <col min="7" max="7" width="4.4609375" customWidth="1"/>
    <col min="8" max="8" width="9.3046875" customWidth="1"/>
    <col min="9" max="9" width="9.53515625" customWidth="1"/>
    <col min="10" max="10" width="10.4609375" style="13" customWidth="1"/>
    <col min="11" max="11" width="10.07421875" customWidth="1"/>
    <col min="12" max="12" width="9.69140625" style="8" customWidth="1"/>
    <col min="13" max="13" width="6.4609375" customWidth="1"/>
    <col min="14" max="14" width="56.3828125" style="17" customWidth="1"/>
    <col min="15" max="16" width="9.07421875" style="13" customWidth="1"/>
    <col min="17" max="17" width="11.4609375" style="13" hidden="1" customWidth="1"/>
    <col min="18" max="19" width="9.07421875" hidden="1" customWidth="1"/>
    <col min="20" max="20" width="16.921875" hidden="1" customWidth="1"/>
    <col min="21" max="21" width="11.3046875" hidden="1" customWidth="1"/>
    <col min="22" max="36" width="9.07421875" hidden="1" customWidth="1"/>
    <col min="37" max="41" width="8.69140625" hidden="1" customWidth="1"/>
    <col min="42" max="42" width="38.84375" hidden="1" customWidth="1"/>
    <col min="43" max="47" width="9.07421875" hidden="1" customWidth="1"/>
    <col min="48" max="48" width="5.53515625" hidden="1" customWidth="1"/>
    <col min="49" max="50" width="9.07421875" hidden="1" customWidth="1"/>
    <col min="51" max="51" width="13.07421875" hidden="1" customWidth="1"/>
    <col min="52" max="52" width="3.61328125" hidden="1" customWidth="1"/>
    <col min="53" max="53" width="10.3046875" hidden="1" customWidth="1"/>
    <col min="54" max="54" width="9.07421875" hidden="1" customWidth="1"/>
    <col min="55" max="56" width="8.84375" hidden="1" customWidth="1"/>
    <col min="57" max="57" width="9.3828125" hidden="1" customWidth="1"/>
    <col min="58" max="67" width="8.84375" hidden="1" customWidth="1"/>
    <col min="69" max="71" width="9.23046875" customWidth="1"/>
  </cols>
  <sheetData>
    <row r="1" spans="1:70" s="4" customFormat="1" ht="22.5" customHeight="1">
      <c r="A1" s="15" t="s">
        <v>77</v>
      </c>
      <c r="B1" s="15"/>
      <c r="E1" s="2"/>
      <c r="J1" s="12"/>
      <c r="N1" s="9" t="s">
        <v>136</v>
      </c>
      <c r="O1" s="12"/>
      <c r="P1" s="12"/>
      <c r="Q1" s="247" t="s">
        <v>97</v>
      </c>
      <c r="R1" s="247" t="s">
        <v>97</v>
      </c>
      <c r="S1" s="247" t="s">
        <v>97</v>
      </c>
      <c r="T1" s="247" t="s">
        <v>97</v>
      </c>
      <c r="U1" s="247" t="s">
        <v>97</v>
      </c>
      <c r="V1" s="247" t="s">
        <v>97</v>
      </c>
      <c r="W1" s="247" t="s">
        <v>97</v>
      </c>
      <c r="X1" s="247" t="s">
        <v>97</v>
      </c>
      <c r="Y1" s="247" t="s">
        <v>97</v>
      </c>
      <c r="Z1" s="247" t="s">
        <v>97</v>
      </c>
      <c r="AA1" s="247" t="s">
        <v>97</v>
      </c>
      <c r="AB1" s="247" t="s">
        <v>97</v>
      </c>
      <c r="AC1" s="247" t="s">
        <v>97</v>
      </c>
      <c r="AD1" s="247" t="s">
        <v>97</v>
      </c>
      <c r="AE1" s="247" t="s">
        <v>97</v>
      </c>
      <c r="AF1" s="247" t="s">
        <v>97</v>
      </c>
      <c r="AG1" s="247" t="s">
        <v>97</v>
      </c>
      <c r="AH1" s="247" t="s">
        <v>97</v>
      </c>
      <c r="AI1" s="247" t="s">
        <v>97</v>
      </c>
      <c r="AJ1" s="247" t="s">
        <v>97</v>
      </c>
      <c r="AK1" s="247" t="s">
        <v>97</v>
      </c>
      <c r="AL1" s="247" t="s">
        <v>97</v>
      </c>
      <c r="AM1" s="247" t="s">
        <v>97</v>
      </c>
      <c r="AN1" s="247" t="s">
        <v>97</v>
      </c>
      <c r="AO1" s="247" t="s">
        <v>97</v>
      </c>
      <c r="AP1" s="247" t="s">
        <v>97</v>
      </c>
      <c r="AQ1" s="247" t="s">
        <v>97</v>
      </c>
      <c r="AR1" s="247" t="s">
        <v>97</v>
      </c>
      <c r="AS1" s="247" t="s">
        <v>97</v>
      </c>
      <c r="AT1" s="247" t="s">
        <v>97</v>
      </c>
      <c r="AU1" s="247" t="s">
        <v>97</v>
      </c>
      <c r="AV1" s="247" t="s">
        <v>97</v>
      </c>
      <c r="AW1" s="247" t="s">
        <v>97</v>
      </c>
      <c r="AX1" s="247" t="s">
        <v>97</v>
      </c>
      <c r="AY1" s="247" t="s">
        <v>97</v>
      </c>
      <c r="AZ1" s="247" t="s">
        <v>97</v>
      </c>
      <c r="BA1" s="247" t="s">
        <v>97</v>
      </c>
      <c r="BB1" s="247" t="s">
        <v>97</v>
      </c>
      <c r="BC1" s="247" t="s">
        <v>97</v>
      </c>
      <c r="BD1" s="247" t="s">
        <v>97</v>
      </c>
      <c r="BE1" s="247" t="s">
        <v>97</v>
      </c>
      <c r="BF1" s="247" t="s">
        <v>97</v>
      </c>
      <c r="BG1" s="247" t="s">
        <v>97</v>
      </c>
      <c r="BH1" s="247" t="s">
        <v>97</v>
      </c>
      <c r="BI1" s="247" t="s">
        <v>97</v>
      </c>
      <c r="BJ1" s="247" t="s">
        <v>97</v>
      </c>
      <c r="BK1" s="247" t="s">
        <v>97</v>
      </c>
      <c r="BL1" s="247" t="s">
        <v>97</v>
      </c>
      <c r="BM1" s="247" t="s">
        <v>97</v>
      </c>
      <c r="BN1" s="247" t="s">
        <v>97</v>
      </c>
      <c r="BO1" s="247" t="s">
        <v>97</v>
      </c>
    </row>
    <row r="2" spans="1:70" ht="20.399999999999999" customHeight="1">
      <c r="A2" s="372" t="s">
        <v>210</v>
      </c>
      <c r="B2" s="372"/>
      <c r="C2" s="372"/>
      <c r="D2" s="32"/>
      <c r="E2" s="32"/>
      <c r="F2" s="32"/>
      <c r="G2" s="32"/>
      <c r="H2" s="288"/>
      <c r="I2" s="288"/>
      <c r="J2" s="288"/>
      <c r="K2" s="288"/>
      <c r="L2" s="288"/>
      <c r="M2" s="32"/>
      <c r="N2" s="302" t="s">
        <v>143</v>
      </c>
      <c r="O2" s="32"/>
      <c r="P2" s="302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206"/>
      <c r="AU2" s="206"/>
      <c r="AV2" s="206"/>
      <c r="AW2" s="206"/>
      <c r="AX2" s="206"/>
      <c r="AY2" s="206"/>
      <c r="AZ2" s="206"/>
      <c r="BA2" s="206"/>
      <c r="BJ2" s="263" t="s">
        <v>103</v>
      </c>
      <c r="BK2" s="264" t="s">
        <v>102</v>
      </c>
      <c r="BL2" s="263"/>
      <c r="BM2" s="265"/>
      <c r="BO2" s="267" t="s">
        <v>104</v>
      </c>
    </row>
    <row r="3" spans="1:70" ht="15.45">
      <c r="I3" s="322"/>
      <c r="O3" s="95" t="str">
        <f>+$L$10</f>
        <v>P %</v>
      </c>
      <c r="P3" s="334" t="s">
        <v>135</v>
      </c>
      <c r="BB3" s="13"/>
      <c r="BJ3" s="269">
        <v>3</v>
      </c>
      <c r="BK3" s="270">
        <v>2.9</v>
      </c>
      <c r="BL3" s="269"/>
      <c r="BM3" s="269"/>
      <c r="BO3" s="271">
        <v>2</v>
      </c>
      <c r="BQ3" s="262" t="s">
        <v>101</v>
      </c>
      <c r="BR3" s="338" t="s">
        <v>103</v>
      </c>
    </row>
    <row r="4" spans="1:70" ht="22.75">
      <c r="A4" s="2" t="s">
        <v>149</v>
      </c>
      <c r="B4" s="2"/>
      <c r="D4" s="27" t="s">
        <v>208</v>
      </c>
      <c r="E4" s="28"/>
      <c r="F4" s="28"/>
      <c r="G4" s="28"/>
      <c r="H4" s="28"/>
      <c r="O4" s="11" t="s">
        <v>55</v>
      </c>
      <c r="P4" s="11" t="s">
        <v>56</v>
      </c>
      <c r="BA4" s="266" t="str">
        <f>+C10</f>
        <v>Generelle Usikkerheder</v>
      </c>
      <c r="BJ4" s="269">
        <v>5</v>
      </c>
      <c r="BK4" s="270">
        <v>4.9000000000000004</v>
      </c>
      <c r="BL4" s="269"/>
      <c r="BM4" s="269"/>
      <c r="BO4" s="271">
        <v>3</v>
      </c>
      <c r="BQ4" s="214" t="s">
        <v>105</v>
      </c>
      <c r="BR4" s="268">
        <f>+HLOOKUP(GruppeStr,$BJ$2:$BM$5,$BO3,FALSE)</f>
        <v>3</v>
      </c>
    </row>
    <row r="5" spans="1:70" ht="20.149999999999999">
      <c r="A5" s="350" t="s">
        <v>148</v>
      </c>
      <c r="B5" s="179"/>
      <c r="H5" s="41"/>
      <c r="O5" s="105">
        <v>0.3</v>
      </c>
      <c r="P5" s="106" t="s">
        <v>57</v>
      </c>
      <c r="AZ5" s="262" t="s">
        <v>109</v>
      </c>
      <c r="BA5" s="287">
        <f>+SUMIFS($H$11:$H$22,$H$11:$H$22,"&lt;0")</f>
        <v>-4</v>
      </c>
      <c r="BJ5" s="269">
        <v>5</v>
      </c>
      <c r="BK5" s="270">
        <v>4.6500000000000004</v>
      </c>
      <c r="BL5" s="269"/>
      <c r="BM5" s="269"/>
      <c r="BO5" s="271">
        <v>4</v>
      </c>
      <c r="BQ5" s="214" t="s">
        <v>106</v>
      </c>
      <c r="BR5" s="268">
        <f>+HLOOKUP(GruppeStr,$BJ$2:$BM$5,$BO4,FALSE)</f>
        <v>5</v>
      </c>
    </row>
    <row r="6" spans="1:70" ht="19.75">
      <c r="C6" s="6"/>
      <c r="E6" s="214" t="str">
        <f t="shared" ref="E6" si="0">F24</f>
        <v xml:space="preserve">Projekt-usikkerhed= </v>
      </c>
      <c r="F6" s="258">
        <f>Project_Uncertainty</f>
        <v>0.12545925596375515</v>
      </c>
      <c r="H6" s="316"/>
      <c r="I6" s="321"/>
      <c r="O6" s="105">
        <v>0.1</v>
      </c>
      <c r="P6" s="107" t="s">
        <v>57</v>
      </c>
      <c r="R6" s="139">
        <f ca="1">+SUM(R11:R50)</f>
        <v>577</v>
      </c>
      <c r="S6" s="139"/>
      <c r="T6" s="138"/>
      <c r="U6" s="139">
        <f ca="1">+SUM(U11:U50)</f>
        <v>561</v>
      </c>
      <c r="V6" s="138"/>
      <c r="W6" s="138"/>
      <c r="X6" s="138"/>
      <c r="Y6" s="138"/>
      <c r="AJ6" s="242"/>
      <c r="AK6" s="242"/>
      <c r="AL6" s="243" t="s">
        <v>95</v>
      </c>
      <c r="AM6" s="242"/>
      <c r="AN6" s="242"/>
      <c r="AO6" s="242"/>
      <c r="AP6" s="242"/>
      <c r="AQ6" s="242"/>
      <c r="AR6" s="242"/>
      <c r="AS6" s="242"/>
      <c r="AT6" s="242"/>
      <c r="AU6" s="242"/>
      <c r="AV6" s="242"/>
      <c r="AW6" s="242"/>
      <c r="AX6" s="242"/>
      <c r="AY6" s="242"/>
      <c r="AZ6" s="262" t="s">
        <v>110</v>
      </c>
      <c r="BA6" s="287">
        <f>+SUMIFS($H$11:$H$22,$H$11:$H$22,"&gt;0")</f>
        <v>124.5</v>
      </c>
      <c r="BQ6" s="214" t="s">
        <v>107</v>
      </c>
      <c r="BR6" s="268">
        <f>+HLOOKUP(GruppeStr,$BJ$2:$BM$5,$BO5,FALSE)</f>
        <v>5</v>
      </c>
    </row>
    <row r="7" spans="1:70" ht="15.9" thickBot="1">
      <c r="G7" s="7"/>
      <c r="O7" s="105">
        <v>0.05</v>
      </c>
      <c r="P7" s="108" t="s">
        <v>57</v>
      </c>
      <c r="R7" s="138"/>
      <c r="S7" s="207" t="s">
        <v>33</v>
      </c>
      <c r="T7" s="208">
        <v>9.9999999999999995E-8</v>
      </c>
      <c r="U7" s="138"/>
      <c r="V7" s="138"/>
      <c r="W7" s="138"/>
      <c r="X7" s="237" t="s">
        <v>91</v>
      </c>
      <c r="Y7" s="138"/>
      <c r="AE7" s="237" t="str">
        <f>$X$7</f>
        <v>Tornado Diagram Data</v>
      </c>
      <c r="AM7" s="237" t="str">
        <f>$X$8</f>
        <v>% estimated Min/ML/Max</v>
      </c>
    </row>
    <row r="8" spans="1:70" ht="17.600000000000001" thickTop="1" thickBot="1">
      <c r="A8" s="354" t="s">
        <v>147</v>
      </c>
      <c r="B8" s="61"/>
      <c r="C8" s="28"/>
      <c r="D8" s="359">
        <f t="shared" ref="D8:F8" si="1">D68</f>
        <v>351.05302501934693</v>
      </c>
      <c r="E8" s="358">
        <f t="shared" si="1"/>
        <v>503.39029029999995</v>
      </c>
      <c r="F8" s="360">
        <f t="shared" si="1"/>
        <v>655.72755558065296</v>
      </c>
      <c r="H8" s="356">
        <f>$H$68</f>
        <v>0.12104902952328797</v>
      </c>
      <c r="I8" s="357">
        <f>$J$68</f>
        <v>60.934906112261196</v>
      </c>
      <c r="J8" s="123"/>
      <c r="R8" s="26" t="s">
        <v>34</v>
      </c>
      <c r="S8" s="26"/>
      <c r="X8" s="238" t="s">
        <v>92</v>
      </c>
      <c r="AD8" s="239" t="s">
        <v>93</v>
      </c>
      <c r="AF8" s="240" t="s">
        <v>94</v>
      </c>
      <c r="AL8" s="239" t="str">
        <f>+$AD$8</f>
        <v>% Share</v>
      </c>
      <c r="AN8" s="240" t="s">
        <v>96</v>
      </c>
    </row>
    <row r="9" spans="1:70" ht="15.9" thickTop="1">
      <c r="E9" s="353" t="s">
        <v>204</v>
      </c>
      <c r="G9" s="7"/>
      <c r="K9" s="123"/>
      <c r="N9" s="122" t="s">
        <v>70</v>
      </c>
      <c r="R9" s="13"/>
      <c r="S9" s="13"/>
      <c r="T9" s="13"/>
      <c r="U9" s="139">
        <v>1</v>
      </c>
      <c r="V9" s="139">
        <f t="shared" ref="V9:AA9" si="2">+U9+1</f>
        <v>2</v>
      </c>
      <c r="W9" s="139">
        <f t="shared" si="2"/>
        <v>3</v>
      </c>
      <c r="X9" s="139">
        <f t="shared" si="2"/>
        <v>4</v>
      </c>
      <c r="Y9" s="139">
        <f t="shared" si="2"/>
        <v>5</v>
      </c>
      <c r="Z9" s="139">
        <f t="shared" si="2"/>
        <v>6</v>
      </c>
      <c r="AA9" s="139">
        <f t="shared" si="2"/>
        <v>7</v>
      </c>
      <c r="AB9" s="139">
        <f t="shared" ref="AB9" si="3">+AA9+1</f>
        <v>8</v>
      </c>
      <c r="AC9" s="139">
        <f t="shared" ref="AC9" si="4">+AB9+1</f>
        <v>9</v>
      </c>
      <c r="AD9" s="139">
        <f t="shared" ref="AD9" si="5">+AC9+1</f>
        <v>10</v>
      </c>
      <c r="AE9" s="139">
        <f t="shared" ref="AE9" si="6">+AD9+1</f>
        <v>11</v>
      </c>
      <c r="AF9" s="139">
        <f t="shared" ref="AF9" si="7">+AE9+1</f>
        <v>12</v>
      </c>
      <c r="AI9" s="139"/>
      <c r="AJ9" s="233" t="s">
        <v>40</v>
      </c>
      <c r="AK9" s="233"/>
      <c r="AO9" s="233"/>
      <c r="AP9" s="233" t="s">
        <v>40</v>
      </c>
      <c r="AQ9" s="209"/>
      <c r="AR9" s="209"/>
      <c r="AS9" s="209"/>
      <c r="AU9" s="209"/>
      <c r="AV9" s="209"/>
      <c r="AW9" s="209"/>
      <c r="AX9" s="209"/>
      <c r="AY9" s="210" t="s">
        <v>52</v>
      </c>
      <c r="AZ9" s="209"/>
    </row>
    <row r="10" spans="1:70" s="64" customFormat="1" ht="15.45">
      <c r="A10" s="162" t="s">
        <v>47</v>
      </c>
      <c r="B10" s="162" t="s">
        <v>114</v>
      </c>
      <c r="C10" s="163" t="s">
        <v>122</v>
      </c>
      <c r="D10" s="311" t="s">
        <v>0</v>
      </c>
      <c r="E10" s="273" t="s">
        <v>75</v>
      </c>
      <c r="F10" s="274" t="s">
        <v>1</v>
      </c>
      <c r="H10" s="255" t="s">
        <v>65</v>
      </c>
      <c r="I10" s="168" t="s">
        <v>108</v>
      </c>
      <c r="J10" s="169" t="s">
        <v>145</v>
      </c>
      <c r="K10" s="169" t="s">
        <v>41</v>
      </c>
      <c r="L10" s="173" t="str">
        <f>+L26</f>
        <v>P %</v>
      </c>
      <c r="N10" s="172" t="s">
        <v>66</v>
      </c>
      <c r="O10" s="345" t="s">
        <v>120</v>
      </c>
      <c r="P10" s="13"/>
      <c r="Q10" s="212" t="s">
        <v>58</v>
      </c>
      <c r="R10" s="212" t="s">
        <v>35</v>
      </c>
      <c r="S10" s="212" t="s">
        <v>43</v>
      </c>
      <c r="T10" s="213" t="str">
        <f>+L10</f>
        <v>P %</v>
      </c>
      <c r="U10" s="212" t="s">
        <v>37</v>
      </c>
      <c r="V10" s="213" t="str">
        <f>+L10</f>
        <v>P %</v>
      </c>
      <c r="W10" s="213" t="str">
        <f>+$D$26</f>
        <v>Min</v>
      </c>
      <c r="X10" s="213" t="str">
        <f>+$E$26</f>
        <v>M.S.</v>
      </c>
      <c r="Y10" s="213" t="str">
        <f>+$F$26</f>
        <v>Max</v>
      </c>
      <c r="Z10" s="213" t="s">
        <v>38</v>
      </c>
      <c r="AA10" s="213" t="s">
        <v>39</v>
      </c>
      <c r="AB10" s="213"/>
      <c r="AC10" s="213"/>
      <c r="AD10" s="213" t="str">
        <f>+$D$26</f>
        <v>Min</v>
      </c>
      <c r="AE10" s="213" t="str">
        <f>+$H$26</f>
        <v>Middel</v>
      </c>
      <c r="AF10" s="212" t="str">
        <f>+$F$26</f>
        <v>Max</v>
      </c>
      <c r="AG10" s="241" t="str">
        <f>+$L$10</f>
        <v>P %</v>
      </c>
      <c r="AH10" s="213" t="s">
        <v>5</v>
      </c>
      <c r="AI10" s="213"/>
      <c r="AJ10" s="213" t="s">
        <v>36</v>
      </c>
      <c r="AK10" s="213"/>
      <c r="AL10" s="213" t="str">
        <f>+$D$26</f>
        <v>Min</v>
      </c>
      <c r="AM10" s="213" t="str">
        <f>+$H$26</f>
        <v>Middel</v>
      </c>
      <c r="AN10" s="212" t="str">
        <f>+$F$26</f>
        <v>Max</v>
      </c>
      <c r="AO10" s="213"/>
      <c r="AP10" s="213" t="s">
        <v>39</v>
      </c>
      <c r="AQ10" s="213"/>
      <c r="AR10" s="213" t="str">
        <f>+L10</f>
        <v>P %</v>
      </c>
      <c r="AS10" s="213" t="str">
        <f>+$D$26</f>
        <v>Min</v>
      </c>
      <c r="AT10" s="212" t="str">
        <f>+$F$26</f>
        <v>Max</v>
      </c>
      <c r="AU10" s="213" t="str">
        <f>+$E$26</f>
        <v>M.S.</v>
      </c>
      <c r="AV10" s="213"/>
      <c r="AW10" s="213" t="str">
        <f>+$D$26</f>
        <v>Min</v>
      </c>
      <c r="AX10" s="213" t="str">
        <f>+$E$26</f>
        <v>M.S.</v>
      </c>
      <c r="AY10" s="212" t="str">
        <f>+$F$26</f>
        <v>Max</v>
      </c>
      <c r="AZ10" s="214"/>
      <c r="BA10" s="286" t="s">
        <v>111</v>
      </c>
      <c r="BB10" s="164" t="str">
        <f>+$D$26</f>
        <v>Min</v>
      </c>
      <c r="BC10" s="165" t="str">
        <f>+$E$26</f>
        <v>M.S.</v>
      </c>
      <c r="BD10" s="166" t="str">
        <f>+$F$26</f>
        <v>Max</v>
      </c>
      <c r="BE10" s="167" t="str">
        <f>+$H$26</f>
        <v>Middel</v>
      </c>
      <c r="BF10" s="286" t="s">
        <v>2</v>
      </c>
      <c r="BG10" s="286" t="s">
        <v>51</v>
      </c>
      <c r="BH10" s="291" t="s">
        <v>112</v>
      </c>
      <c r="BI10" s="292" t="s">
        <v>113</v>
      </c>
    </row>
    <row r="11" spans="1:70" ht="15.45">
      <c r="A11" s="335" t="s">
        <v>48</v>
      </c>
      <c r="B11" s="335">
        <v>1</v>
      </c>
      <c r="C11" s="336" t="s">
        <v>150</v>
      </c>
      <c r="D11" s="260">
        <v>-35</v>
      </c>
      <c r="E11" s="260">
        <v>10</v>
      </c>
      <c r="F11" s="260">
        <v>75</v>
      </c>
      <c r="H11" s="283">
        <f t="shared" ref="H11:H22" si="8">$B11*(D11+FaktorA*E11+F11)/DivisorA</f>
        <v>14</v>
      </c>
      <c r="I11" s="284">
        <f t="shared" ref="I11:I22" si="9">+$B11*(F11-D11)/DivisorB</f>
        <v>22</v>
      </c>
      <c r="J11" s="199">
        <v>1</v>
      </c>
      <c r="K11" s="70">
        <f t="shared" ref="K11:K22" si="10">+I11*I11*J11</f>
        <v>484</v>
      </c>
      <c r="L11" s="87">
        <f t="shared" ref="L11:L22" si="11">+(IF(GrandTotal_Priority&lt;&gt;0,K11/GrandTotal_Priority,0))</f>
        <v>0.13035061034455991</v>
      </c>
      <c r="M11" s="68"/>
      <c r="N11" s="103" t="s">
        <v>188</v>
      </c>
      <c r="O11" s="346">
        <f t="shared" ref="O11:O22" si="12">+(ABS(BD11-BC11)-ABS(BC11-BB11))</f>
        <v>6.5429910498425281E-2</v>
      </c>
      <c r="Q11" s="215">
        <v>1</v>
      </c>
      <c r="R11" s="215">
        <f t="shared" ref="R11:S22" ca="1" si="13">+SUM(INDIRECT("q10:q"&amp;ROW()-0))</f>
        <v>1</v>
      </c>
      <c r="S11" s="328">
        <f t="shared" ca="1" si="13"/>
        <v>1</v>
      </c>
      <c r="T11" s="244">
        <f t="shared" ref="T11:T22" ca="1" si="14">+L11+R11*deltaId</f>
        <v>0.13035071034455992</v>
      </c>
      <c r="U11" s="215">
        <f t="shared" ref="U11:U22" ca="1" si="15">+RANK(T11,T$11:T$52)</f>
        <v>2</v>
      </c>
      <c r="V11" s="217">
        <f>+L11</f>
        <v>0.13035061034455991</v>
      </c>
      <c r="W11" s="218">
        <f t="shared" ref="W11:W22" si="16">+BB11</f>
        <v>0.88549765662775548</v>
      </c>
      <c r="X11" s="218">
        <f t="shared" ref="X11:X22" si="17">+BC11</f>
        <v>1.0327149552492128</v>
      </c>
      <c r="Y11" s="218">
        <f t="shared" ref="Y11:Y22" si="18">+BD11</f>
        <v>1.2453621643690953</v>
      </c>
      <c r="Z11" s="219">
        <f t="shared" ref="Z11:Z22" si="19">+$BC$11</f>
        <v>1.0327149552492128</v>
      </c>
      <c r="AA11" s="220" t="str">
        <f t="shared" ref="AA11:AA22" si="20">+CONCATENATE($P$3,"(",A11,"): ",$C11)</f>
        <v>GU(A): Kontraktstrategi</v>
      </c>
      <c r="AB11" s="220"/>
      <c r="AC11" s="220"/>
      <c r="AD11" s="220">
        <f t="shared" ref="AD11:AD22" si="21">+$AE11-(1/2)*$K11/GrandTotal_Priority</f>
        <v>0.93482469482772002</v>
      </c>
      <c r="AE11" s="217">
        <v>1</v>
      </c>
      <c r="AF11" s="220">
        <f t="shared" ref="AF11:AF22" si="22">+$AE11+(1/2)*$K11/GrandTotal_Priority</f>
        <v>1.0651753051722799</v>
      </c>
      <c r="AG11" s="218">
        <f>+AF11-AD11</f>
        <v>0.13035061034455986</v>
      </c>
      <c r="AH11" s="218">
        <f>+AG11-L11</f>
        <v>0</v>
      </c>
      <c r="AI11" s="220"/>
      <c r="AJ11" s="221">
        <f t="shared" ref="AJ11:AJ22" ca="1" si="23">+VLOOKUP($R11,$U$11:$AA$52,$V$9,FALSE)</f>
        <v>0.21114644320275819</v>
      </c>
      <c r="AK11" s="221"/>
      <c r="AL11" s="218">
        <f t="shared" ref="AL11:AL22" ca="1" si="24">+VLOOKUP($R11,$U$11:$AF$52,AD$9,FALSE)</f>
        <v>0.89442677839862095</v>
      </c>
      <c r="AM11" s="218">
        <f t="shared" ref="AM11:AM22" ca="1" si="25">+VLOOKUP($R11,$U$11:$AF$52,AE$9,FALSE)</f>
        <v>1</v>
      </c>
      <c r="AN11" s="218">
        <f t="shared" ref="AN11:AN22" ca="1" si="26">+VLOOKUP($R11,$U$11:$AF$52,AF$9,FALSE)</f>
        <v>1.1055732216013792</v>
      </c>
      <c r="AO11" s="221"/>
      <c r="AP11" s="222" t="str">
        <f t="shared" ref="AP11:AP22" ca="1" si="27">+CONCATENATE("#",R11,": ",VLOOKUP($R11,$U$11:$AA$52,$AA$9,FALSE),", P= ",ROUND(AR11*100,1),"%")</f>
        <v>#1: GU(C): Kompet. &amp; Erfa. niveau, P= 21,1%</v>
      </c>
      <c r="AQ11" s="222"/>
      <c r="AR11" s="221">
        <f t="shared" ref="AR11:AR22" ca="1" si="28">+VLOOKUP($R11,$U$11:$AA$52,$V$9,FALSE)</f>
        <v>0.21114644320275819</v>
      </c>
      <c r="AS11" s="221">
        <f t="shared" ref="AS11:AS22" ca="1" si="29">+VLOOKUP($R11,$U$11:$AA$52,$W$9,FALSE)</f>
        <v>0.83642522375393646</v>
      </c>
      <c r="AT11" s="221">
        <f t="shared" ref="AT11:AT22" ca="1" si="30">+VLOOKUP($R11,$U$11:$AA$52,$Y$9,FALSE)</f>
        <v>1.2944345972429145</v>
      </c>
      <c r="AU11" s="221">
        <f t="shared" ref="AU11:AU22" ca="1" si="31">+VLOOKUP($R11,$U$11:$AA$52,$X$9,FALSE)</f>
        <v>1.0327149552492128</v>
      </c>
      <c r="AV11" s="221"/>
      <c r="AW11" s="221">
        <f t="shared" ref="AW11:AW22" ca="1" si="32">+IF(OR($AS11&lt;&gt;0,$AT11&lt;&gt;0,$AU11&lt;&gt;0),$AS11,100%)</f>
        <v>0.83642522375393646</v>
      </c>
      <c r="AX11" s="221">
        <f t="shared" ref="AX11:AX22" ca="1" si="33">+IF(OR($AS11&lt;&gt;0,$AT11&lt;&gt;0,$AU11&lt;&gt;0),$AU11,100%)</f>
        <v>1.0327149552492128</v>
      </c>
      <c r="AY11" s="221">
        <f t="shared" ref="AY11:AY22" ca="1" si="34">+IF(OR($AS11&lt;&gt;0,$AT11&lt;&gt;0,$AU11&lt;&gt;0),$AT11,100%)</f>
        <v>1.2944345972429145</v>
      </c>
      <c r="AZ11" s="209"/>
      <c r="BA11" s="289">
        <f t="shared" ref="BA11:BA22" si="35">+IF($H11&lt;0,$BB$25,$BB$26)</f>
        <v>305.67059999999998</v>
      </c>
      <c r="BB11" s="290">
        <f>+(100%+IFERROR($B11*D11/$BA11,0%))</f>
        <v>0.88549765662775548</v>
      </c>
      <c r="BC11" s="290">
        <f>+(100%+IFERROR($B11*E11/$BA11,0%))</f>
        <v>1.0327149552492128</v>
      </c>
      <c r="BD11" s="290">
        <f>+(100%+IFERROR($B11*F11/$BA11,0%))</f>
        <v>1.2453621643690953</v>
      </c>
      <c r="BE11" s="94">
        <f>+(BB11+FaktorA*BC11+BD11)/DivisorA</f>
        <v>1.0458009373488979</v>
      </c>
      <c r="BF11" s="94">
        <f>+(BD11-BB11)/DivisorB</f>
        <v>7.1972901548267965E-2</v>
      </c>
      <c r="BG11" s="94">
        <f>+IFERROR($I11/$H11,0)</f>
        <v>1.5714285714285714</v>
      </c>
      <c r="BH11" s="261">
        <f>+IF($H11&gt;0,$BE11-100%,0%)</f>
        <v>4.5800937348897897E-2</v>
      </c>
      <c r="BI11" s="261">
        <f>+IF($H11&lt;=0,$BE11-100%,0%)</f>
        <v>0</v>
      </c>
    </row>
    <row r="12" spans="1:70" ht="15.45">
      <c r="A12" s="335" t="s">
        <v>49</v>
      </c>
      <c r="B12" s="335">
        <v>1</v>
      </c>
      <c r="C12" s="336" t="s">
        <v>151</v>
      </c>
      <c r="D12" s="260">
        <v>-25</v>
      </c>
      <c r="E12" s="260">
        <v>0</v>
      </c>
      <c r="F12" s="260">
        <v>50</v>
      </c>
      <c r="H12" s="283">
        <f t="shared" si="8"/>
        <v>5</v>
      </c>
      <c r="I12" s="284">
        <f t="shared" si="9"/>
        <v>15</v>
      </c>
      <c r="J12" s="199">
        <v>1</v>
      </c>
      <c r="K12" s="70">
        <f t="shared" si="10"/>
        <v>225</v>
      </c>
      <c r="L12" s="87">
        <f t="shared" si="11"/>
        <v>6.0596874643648713E-2</v>
      </c>
      <c r="M12" s="68"/>
      <c r="N12" s="103" t="s">
        <v>189</v>
      </c>
      <c r="O12" s="346">
        <f t="shared" si="12"/>
        <v>8.1787388123031768E-2</v>
      </c>
      <c r="Q12" s="215">
        <v>1</v>
      </c>
      <c r="R12" s="215">
        <f t="shared" ca="1" si="13"/>
        <v>2</v>
      </c>
      <c r="S12" s="215">
        <f t="shared" ca="1" si="13"/>
        <v>2</v>
      </c>
      <c r="T12" s="244">
        <f t="shared" ca="1" si="14"/>
        <v>6.0597074643648711E-2</v>
      </c>
      <c r="U12" s="215">
        <f t="shared" ca="1" si="15"/>
        <v>8</v>
      </c>
      <c r="V12" s="217">
        <f t="shared" ref="V12:V22" si="36">+L12</f>
        <v>6.0596874643648713E-2</v>
      </c>
      <c r="W12" s="218">
        <f t="shared" si="16"/>
        <v>0.91821261187696823</v>
      </c>
      <c r="X12" s="218">
        <f t="shared" si="17"/>
        <v>1</v>
      </c>
      <c r="Y12" s="218">
        <f t="shared" si="18"/>
        <v>1.1635747762460635</v>
      </c>
      <c r="Z12" s="219">
        <f t="shared" si="19"/>
        <v>1.0327149552492128</v>
      </c>
      <c r="AA12" s="220" t="str">
        <f t="shared" si="20"/>
        <v>GU(B): Grænseflader</v>
      </c>
      <c r="AB12" s="220"/>
      <c r="AC12" s="220"/>
      <c r="AD12" s="220">
        <f t="shared" si="21"/>
        <v>0.96970156267817564</v>
      </c>
      <c r="AE12" s="217">
        <v>1</v>
      </c>
      <c r="AF12" s="220">
        <f t="shared" si="22"/>
        <v>1.0302984373218242</v>
      </c>
      <c r="AG12" s="218">
        <f t="shared" ref="AG12:AG22" si="37">+AF12-AD12</f>
        <v>6.0596874643648602E-2</v>
      </c>
      <c r="AH12" s="218">
        <f t="shared" ref="AH12:AH22" si="38">+AG12-L12</f>
        <v>-1.1102230246251565E-16</v>
      </c>
      <c r="AI12" s="220"/>
      <c r="AJ12" s="221">
        <f t="shared" ca="1" si="23"/>
        <v>0.13035061034455991</v>
      </c>
      <c r="AK12" s="221"/>
      <c r="AL12" s="218">
        <f t="shared" ca="1" si="24"/>
        <v>0.93482469482772002</v>
      </c>
      <c r="AM12" s="218">
        <f t="shared" ca="1" si="25"/>
        <v>1</v>
      </c>
      <c r="AN12" s="218">
        <f t="shared" ca="1" si="26"/>
        <v>1.0651753051722799</v>
      </c>
      <c r="AO12" s="221"/>
      <c r="AP12" s="222" t="str">
        <f t="shared" ca="1" si="27"/>
        <v>#2: GU(A): Kontraktstrategi, P= 13%</v>
      </c>
      <c r="AQ12" s="222"/>
      <c r="AR12" s="221">
        <f t="shared" ca="1" si="28"/>
        <v>0.13035061034455991</v>
      </c>
      <c r="AS12" s="221">
        <f t="shared" ca="1" si="29"/>
        <v>0.88549765662775548</v>
      </c>
      <c r="AT12" s="221">
        <f t="shared" ca="1" si="30"/>
        <v>1.2453621643690953</v>
      </c>
      <c r="AU12" s="221">
        <f t="shared" ca="1" si="31"/>
        <v>1.0327149552492128</v>
      </c>
      <c r="AV12" s="221"/>
      <c r="AW12" s="221">
        <f t="shared" ca="1" si="32"/>
        <v>0.88549765662775548</v>
      </c>
      <c r="AX12" s="221">
        <f t="shared" ca="1" si="33"/>
        <v>1.0327149552492128</v>
      </c>
      <c r="AY12" s="221">
        <f t="shared" ca="1" si="34"/>
        <v>1.2453621643690953</v>
      </c>
      <c r="AZ12" s="209"/>
      <c r="BA12" s="289">
        <f t="shared" si="35"/>
        <v>305.67059999999998</v>
      </c>
      <c r="BB12" s="290">
        <f t="shared" ref="BB12:BB22" si="39">+(100%+IFERROR($B12*D12/$BA12,0%))</f>
        <v>0.91821261187696823</v>
      </c>
      <c r="BC12" s="290">
        <f t="shared" ref="BC12:BC22" si="40">+(100%+IFERROR($B12*E12/$BA12,0%))</f>
        <v>1</v>
      </c>
      <c r="BD12" s="290">
        <f t="shared" ref="BD12:BD22" si="41">+(100%+IFERROR($B12*F12/$BA12,0%))</f>
        <v>1.1635747762460635</v>
      </c>
      <c r="BE12" s="94">
        <f t="shared" ref="BE12:BE22" si="42">+(BB12+FaktorA*BC12+BD12)/DivisorA+IF(ABS(D12)+ABS(E12)+ABS(F12)=0,0%,0)</f>
        <v>1.0163574776246063</v>
      </c>
      <c r="BF12" s="70">
        <f t="shared" ref="BF12:BF22" si="43">+(D12+FaktorA*E12+F12)/DivisorA</f>
        <v>5</v>
      </c>
      <c r="BG12" s="94">
        <f t="shared" ref="BG12:BG22" si="44">+IFERROR(BF12/$BF$23,0)</f>
        <v>4.6916650446351647E-2</v>
      </c>
      <c r="BH12" s="261">
        <f t="shared" ref="BH12:BH22" si="45">+IF($H12&gt;0,$BE12-100%,0%)</f>
        <v>1.6357477624606265E-2</v>
      </c>
      <c r="BI12" s="261">
        <f t="shared" ref="BI12:BI22" si="46">+IF($H12&lt;=0,$BE12-100%,0%)</f>
        <v>0</v>
      </c>
    </row>
    <row r="13" spans="1:70" ht="15.45">
      <c r="A13" s="335" t="s">
        <v>50</v>
      </c>
      <c r="B13" s="335">
        <v>1</v>
      </c>
      <c r="C13" s="336" t="s">
        <v>152</v>
      </c>
      <c r="D13" s="260">
        <v>-50</v>
      </c>
      <c r="E13" s="260">
        <v>10</v>
      </c>
      <c r="F13" s="260">
        <v>90</v>
      </c>
      <c r="H13" s="283">
        <f t="shared" si="8"/>
        <v>14</v>
      </c>
      <c r="I13" s="284">
        <f t="shared" si="9"/>
        <v>28</v>
      </c>
      <c r="J13" s="199">
        <v>1</v>
      </c>
      <c r="K13" s="70">
        <f t="shared" si="10"/>
        <v>784</v>
      </c>
      <c r="L13" s="87">
        <f t="shared" si="11"/>
        <v>0.21114644320275819</v>
      </c>
      <c r="M13" s="68"/>
      <c r="N13" s="103" t="s">
        <v>190</v>
      </c>
      <c r="O13" s="346">
        <f t="shared" si="12"/>
        <v>6.5429910498425503E-2</v>
      </c>
      <c r="Q13" s="215">
        <v>1</v>
      </c>
      <c r="R13" s="215">
        <f t="shared" ca="1" si="13"/>
        <v>3</v>
      </c>
      <c r="S13" s="215">
        <f t="shared" ca="1" si="13"/>
        <v>3</v>
      </c>
      <c r="T13" s="244">
        <f t="shared" ca="1" si="14"/>
        <v>0.2111467432027582</v>
      </c>
      <c r="U13" s="215">
        <f t="shared" ca="1" si="15"/>
        <v>1</v>
      </c>
      <c r="V13" s="217">
        <f t="shared" si="36"/>
        <v>0.21114644320275819</v>
      </c>
      <c r="W13" s="218">
        <f t="shared" si="16"/>
        <v>0.83642522375393646</v>
      </c>
      <c r="X13" s="218">
        <f t="shared" si="17"/>
        <v>1.0327149552492128</v>
      </c>
      <c r="Y13" s="218">
        <f t="shared" si="18"/>
        <v>1.2944345972429145</v>
      </c>
      <c r="Z13" s="219">
        <f t="shared" si="19"/>
        <v>1.0327149552492128</v>
      </c>
      <c r="AA13" s="220" t="str">
        <f t="shared" si="20"/>
        <v>GU(C): Kompet. &amp; Erfa. niveau</v>
      </c>
      <c r="AB13" s="220"/>
      <c r="AC13" s="220"/>
      <c r="AD13" s="220">
        <f t="shared" si="21"/>
        <v>0.89442677839862095</v>
      </c>
      <c r="AE13" s="217">
        <v>1</v>
      </c>
      <c r="AF13" s="220">
        <f t="shared" si="22"/>
        <v>1.1055732216013792</v>
      </c>
      <c r="AG13" s="218">
        <f t="shared" si="37"/>
        <v>0.21114644320275822</v>
      </c>
      <c r="AH13" s="218">
        <f t="shared" si="38"/>
        <v>0</v>
      </c>
      <c r="AI13" s="220"/>
      <c r="AJ13" s="221">
        <f t="shared" ca="1" si="23"/>
        <v>0.10772777714426439</v>
      </c>
      <c r="AK13" s="221"/>
      <c r="AL13" s="218">
        <f t="shared" ca="1" si="24"/>
        <v>0.9461361114278678</v>
      </c>
      <c r="AM13" s="218">
        <f t="shared" ca="1" si="25"/>
        <v>1</v>
      </c>
      <c r="AN13" s="218">
        <f t="shared" ca="1" si="26"/>
        <v>1.0538638885721321</v>
      </c>
      <c r="AO13" s="221"/>
      <c r="AP13" s="222" t="str">
        <f t="shared" ca="1" si="27"/>
        <v>#3: GU(H): Krav- og kvalitets-styring, P= 10,8%</v>
      </c>
      <c r="AQ13" s="222"/>
      <c r="AR13" s="221">
        <f t="shared" ca="1" si="28"/>
        <v>0.10772777714426439</v>
      </c>
      <c r="AS13" s="221">
        <f t="shared" ca="1" si="29"/>
        <v>0.91821261187696823</v>
      </c>
      <c r="AT13" s="221">
        <f t="shared" ca="1" si="30"/>
        <v>1.2453621643690953</v>
      </c>
      <c r="AU13" s="221">
        <f t="shared" ca="1" si="31"/>
        <v>1.049072432873819</v>
      </c>
      <c r="AV13" s="221"/>
      <c r="AW13" s="221">
        <f t="shared" ca="1" si="32"/>
        <v>0.91821261187696823</v>
      </c>
      <c r="AX13" s="221">
        <f t="shared" ca="1" si="33"/>
        <v>1.049072432873819</v>
      </c>
      <c r="AY13" s="221">
        <f t="shared" ca="1" si="34"/>
        <v>1.2453621643690953</v>
      </c>
      <c r="AZ13" s="209"/>
      <c r="BA13" s="289">
        <f t="shared" si="35"/>
        <v>305.67059999999998</v>
      </c>
      <c r="BB13" s="290">
        <f t="shared" si="39"/>
        <v>0.83642522375393646</v>
      </c>
      <c r="BC13" s="290">
        <f t="shared" si="40"/>
        <v>1.0327149552492128</v>
      </c>
      <c r="BD13" s="290">
        <f t="shared" si="41"/>
        <v>1.2944345972429145</v>
      </c>
      <c r="BE13" s="94">
        <f t="shared" si="42"/>
        <v>1.0458009373488979</v>
      </c>
      <c r="BF13" s="70">
        <f t="shared" si="43"/>
        <v>14</v>
      </c>
      <c r="BG13" s="94">
        <f t="shared" si="44"/>
        <v>0.1313666212497846</v>
      </c>
      <c r="BH13" s="261">
        <f t="shared" si="45"/>
        <v>4.5800937348897897E-2</v>
      </c>
      <c r="BI13" s="261">
        <f t="shared" si="46"/>
        <v>0</v>
      </c>
    </row>
    <row r="14" spans="1:70" ht="15.65" customHeight="1">
      <c r="A14" s="335" t="s">
        <v>157</v>
      </c>
      <c r="B14" s="335">
        <v>1</v>
      </c>
      <c r="C14" s="336" t="s">
        <v>153</v>
      </c>
      <c r="D14" s="260">
        <v>-5</v>
      </c>
      <c r="E14" s="260">
        <v>10</v>
      </c>
      <c r="F14" s="260">
        <v>17.5</v>
      </c>
      <c r="H14" s="283">
        <f t="shared" si="8"/>
        <v>8.5</v>
      </c>
      <c r="I14" s="284">
        <f t="shared" si="9"/>
        <v>4.5</v>
      </c>
      <c r="J14" s="199">
        <v>1</v>
      </c>
      <c r="K14" s="70">
        <f t="shared" si="10"/>
        <v>20.25</v>
      </c>
      <c r="L14" s="87">
        <f t="shared" si="11"/>
        <v>5.453718717928384E-3</v>
      </c>
      <c r="M14" s="68"/>
      <c r="N14" s="103" t="s">
        <v>191</v>
      </c>
      <c r="O14" s="346">
        <f t="shared" si="12"/>
        <v>-2.453621643690973E-2</v>
      </c>
      <c r="Q14" s="215">
        <v>1</v>
      </c>
      <c r="R14" s="215">
        <f t="shared" ca="1" si="13"/>
        <v>4</v>
      </c>
      <c r="S14" s="215">
        <f t="shared" ca="1" si="13"/>
        <v>4</v>
      </c>
      <c r="T14" s="244">
        <f t="shared" ca="1" si="14"/>
        <v>5.4541187179283843E-3</v>
      </c>
      <c r="U14" s="215">
        <f t="shared" ca="1" si="15"/>
        <v>20</v>
      </c>
      <c r="V14" s="217">
        <f t="shared" si="36"/>
        <v>5.453718717928384E-3</v>
      </c>
      <c r="W14" s="218">
        <f t="shared" si="16"/>
        <v>0.98364252237539362</v>
      </c>
      <c r="X14" s="218">
        <f t="shared" si="17"/>
        <v>1.0327149552492128</v>
      </c>
      <c r="Y14" s="218">
        <f t="shared" si="18"/>
        <v>1.0572511716861221</v>
      </c>
      <c r="Z14" s="219">
        <f t="shared" si="19"/>
        <v>1.0327149552492128</v>
      </c>
      <c r="AA14" s="220" t="str">
        <f t="shared" si="20"/>
        <v>GU(D): Bygherrens org.</v>
      </c>
      <c r="AB14" s="220"/>
      <c r="AC14" s="220"/>
      <c r="AD14" s="220">
        <f t="shared" si="21"/>
        <v>0.99727314064103578</v>
      </c>
      <c r="AE14" s="217">
        <v>1</v>
      </c>
      <c r="AF14" s="220">
        <f t="shared" si="22"/>
        <v>1.0027268593589642</v>
      </c>
      <c r="AG14" s="218">
        <f t="shared" si="37"/>
        <v>5.4537187179284352E-3</v>
      </c>
      <c r="AH14" s="218">
        <f t="shared" si="38"/>
        <v>5.1174342541315809E-17</v>
      </c>
      <c r="AI14" s="220"/>
      <c r="AJ14" s="221">
        <f t="shared" ca="1" si="23"/>
        <v>0.10772777714426439</v>
      </c>
      <c r="AK14" s="221"/>
      <c r="AL14" s="218">
        <f t="shared" ca="1" si="24"/>
        <v>0.9461361114278678</v>
      </c>
      <c r="AM14" s="218">
        <f t="shared" ca="1" si="25"/>
        <v>1</v>
      </c>
      <c r="AN14" s="218">
        <f t="shared" ca="1" si="26"/>
        <v>1.0538638885721321</v>
      </c>
      <c r="AO14" s="221"/>
      <c r="AP14" s="222" t="str">
        <f t="shared" ca="1" si="27"/>
        <v>#4: GU(F): Eksterne forhold, P= 10,8%</v>
      </c>
      <c r="AQ14" s="222"/>
      <c r="AR14" s="221">
        <f t="shared" ca="1" si="28"/>
        <v>0.10772777714426439</v>
      </c>
      <c r="AS14" s="221">
        <f t="shared" ca="1" si="29"/>
        <v>0.91821261187696823</v>
      </c>
      <c r="AT14" s="221">
        <f t="shared" ca="1" si="30"/>
        <v>1.2453621643690953</v>
      </c>
      <c r="AU14" s="221">
        <f t="shared" ca="1" si="31"/>
        <v>1.0327149552492128</v>
      </c>
      <c r="AV14" s="221"/>
      <c r="AW14" s="221">
        <f t="shared" ca="1" si="32"/>
        <v>0.91821261187696823</v>
      </c>
      <c r="AX14" s="221">
        <f t="shared" ca="1" si="33"/>
        <v>1.0327149552492128</v>
      </c>
      <c r="AY14" s="221">
        <f t="shared" ca="1" si="34"/>
        <v>1.2453621643690953</v>
      </c>
      <c r="AZ14" s="209"/>
      <c r="BA14" s="289">
        <f t="shared" si="35"/>
        <v>305.67059999999998</v>
      </c>
      <c r="BB14" s="290">
        <f t="shared" si="39"/>
        <v>0.98364252237539362</v>
      </c>
      <c r="BC14" s="290">
        <f t="shared" si="40"/>
        <v>1.0327149552492128</v>
      </c>
      <c r="BD14" s="290">
        <f t="shared" si="41"/>
        <v>1.0572511716861221</v>
      </c>
      <c r="BE14" s="94">
        <f t="shared" si="42"/>
        <v>1.0278077119618307</v>
      </c>
      <c r="BF14" s="70">
        <f t="shared" si="43"/>
        <v>8.5</v>
      </c>
      <c r="BG14" s="94">
        <f t="shared" si="44"/>
        <v>7.9758305758797804E-2</v>
      </c>
      <c r="BH14" s="261">
        <f t="shared" si="45"/>
        <v>2.7807711961830739E-2</v>
      </c>
      <c r="BI14" s="261">
        <f t="shared" si="46"/>
        <v>0</v>
      </c>
    </row>
    <row r="15" spans="1:70" ht="15.45">
      <c r="A15" s="335" t="s">
        <v>158</v>
      </c>
      <c r="B15" s="335">
        <v>1</v>
      </c>
      <c r="C15" s="336" t="s">
        <v>154</v>
      </c>
      <c r="D15" s="260">
        <v>-15</v>
      </c>
      <c r="E15" s="260">
        <v>-5</v>
      </c>
      <c r="F15" s="260">
        <v>10</v>
      </c>
      <c r="H15" s="283">
        <f t="shared" si="8"/>
        <v>-4</v>
      </c>
      <c r="I15" s="284">
        <f t="shared" si="9"/>
        <v>5</v>
      </c>
      <c r="J15" s="199">
        <v>1</v>
      </c>
      <c r="K15" s="70">
        <f t="shared" si="10"/>
        <v>25</v>
      </c>
      <c r="L15" s="87">
        <f t="shared" si="11"/>
        <v>6.7329860715165243E-3</v>
      </c>
      <c r="M15" s="68"/>
      <c r="N15" s="103" t="s">
        <v>190</v>
      </c>
      <c r="O15" s="346">
        <f t="shared" si="12"/>
        <v>0</v>
      </c>
      <c r="Q15" s="215">
        <v>1</v>
      </c>
      <c r="R15" s="215">
        <f t="shared" ca="1" si="13"/>
        <v>5</v>
      </c>
      <c r="S15" s="215">
        <f t="shared" ca="1" si="13"/>
        <v>5</v>
      </c>
      <c r="T15" s="244">
        <f t="shared" ca="1" si="14"/>
        <v>6.7334860715165239E-3</v>
      </c>
      <c r="U15" s="215">
        <f t="shared" ca="1" si="15"/>
        <v>19</v>
      </c>
      <c r="V15" s="217">
        <f t="shared" si="36"/>
        <v>6.7329860715165243E-3</v>
      </c>
      <c r="W15" s="218">
        <f t="shared" si="16"/>
        <v>1</v>
      </c>
      <c r="X15" s="218">
        <f t="shared" si="17"/>
        <v>1</v>
      </c>
      <c r="Y15" s="218">
        <f t="shared" si="18"/>
        <v>1</v>
      </c>
      <c r="Z15" s="219">
        <f t="shared" si="19"/>
        <v>1.0327149552492128</v>
      </c>
      <c r="AA15" s="220" t="str">
        <f t="shared" si="20"/>
        <v>GU(E): Projekt Org.</v>
      </c>
      <c r="AB15" s="220"/>
      <c r="AC15" s="220"/>
      <c r="AD15" s="220">
        <f t="shared" si="21"/>
        <v>0.99663350696424169</v>
      </c>
      <c r="AE15" s="217">
        <v>1</v>
      </c>
      <c r="AF15" s="220">
        <f t="shared" si="22"/>
        <v>1.0033664930357582</v>
      </c>
      <c r="AG15" s="218">
        <f t="shared" si="37"/>
        <v>6.7329860715165113E-3</v>
      </c>
      <c r="AH15" s="218">
        <f t="shared" si="38"/>
        <v>-1.3010426069826053E-17</v>
      </c>
      <c r="AI15" s="220"/>
      <c r="AJ15" s="221">
        <f t="shared" ca="1" si="23"/>
        <v>8.7259499486854145E-2</v>
      </c>
      <c r="AK15" s="221"/>
      <c r="AL15" s="218">
        <f t="shared" ca="1" si="24"/>
        <v>0.95637025025657296</v>
      </c>
      <c r="AM15" s="218">
        <f t="shared" ca="1" si="25"/>
        <v>1</v>
      </c>
      <c r="AN15" s="218">
        <f t="shared" ca="1" si="26"/>
        <v>1.043629749743427</v>
      </c>
      <c r="AO15" s="221"/>
      <c r="AP15" s="222" t="str">
        <f t="shared" ca="1" si="27"/>
        <v>#5: Opg15: Aptering, P= 8,7%</v>
      </c>
      <c r="AQ15" s="222"/>
      <c r="AR15" s="221">
        <f t="shared" ca="1" si="28"/>
        <v>8.7259499486854145E-2</v>
      </c>
      <c r="AS15" s="221">
        <f t="shared" ca="1" si="29"/>
        <v>0.20408163265306123</v>
      </c>
      <c r="AT15" s="221">
        <f t="shared" ca="1" si="30"/>
        <v>2.0408163265306123</v>
      </c>
      <c r="AU15" s="221">
        <f t="shared" ca="1" si="31"/>
        <v>0.91836734693877553</v>
      </c>
      <c r="AV15" s="221"/>
      <c r="AW15" s="221">
        <f t="shared" ca="1" si="32"/>
        <v>0.20408163265306123</v>
      </c>
      <c r="AX15" s="221">
        <f t="shared" ca="1" si="33"/>
        <v>0.91836734693877553</v>
      </c>
      <c r="AY15" s="221">
        <f t="shared" ca="1" si="34"/>
        <v>2.0408163265306123</v>
      </c>
      <c r="AZ15" s="209"/>
      <c r="BA15" s="289">
        <f t="shared" si="35"/>
        <v>0</v>
      </c>
      <c r="BB15" s="290">
        <f t="shared" si="39"/>
        <v>1</v>
      </c>
      <c r="BC15" s="290">
        <f t="shared" si="40"/>
        <v>1</v>
      </c>
      <c r="BD15" s="290">
        <f t="shared" si="41"/>
        <v>1</v>
      </c>
      <c r="BE15" s="94">
        <f t="shared" si="42"/>
        <v>1</v>
      </c>
      <c r="BF15" s="70">
        <f t="shared" si="43"/>
        <v>-4</v>
      </c>
      <c r="BG15" s="94">
        <f t="shared" si="44"/>
        <v>-3.7533320357081318E-2</v>
      </c>
      <c r="BH15" s="261">
        <f t="shared" si="45"/>
        <v>0</v>
      </c>
      <c r="BI15" s="261">
        <f t="shared" si="46"/>
        <v>0</v>
      </c>
    </row>
    <row r="16" spans="1:70" ht="15.35" customHeight="1">
      <c r="A16" s="335" t="s">
        <v>159</v>
      </c>
      <c r="B16" s="335">
        <v>1</v>
      </c>
      <c r="C16" s="336" t="s">
        <v>155</v>
      </c>
      <c r="D16" s="260">
        <v>-25</v>
      </c>
      <c r="E16" s="260">
        <v>10</v>
      </c>
      <c r="F16" s="260">
        <v>75</v>
      </c>
      <c r="H16" s="283">
        <f t="shared" si="8"/>
        <v>16</v>
      </c>
      <c r="I16" s="284">
        <f t="shared" si="9"/>
        <v>20</v>
      </c>
      <c r="J16" s="199">
        <v>1</v>
      </c>
      <c r="K16" s="70">
        <f t="shared" si="10"/>
        <v>400</v>
      </c>
      <c r="L16" s="87">
        <f t="shared" si="11"/>
        <v>0.10772777714426439</v>
      </c>
      <c r="M16" s="68"/>
      <c r="N16" s="103"/>
      <c r="O16" s="346">
        <f t="shared" si="12"/>
        <v>9.8144865747638033E-2</v>
      </c>
      <c r="Q16" s="215">
        <v>1</v>
      </c>
      <c r="R16" s="215">
        <f t="shared" ca="1" si="13"/>
        <v>6</v>
      </c>
      <c r="S16" s="215">
        <f t="shared" ca="1" si="13"/>
        <v>6</v>
      </c>
      <c r="T16" s="244">
        <f t="shared" ca="1" si="14"/>
        <v>0.10772837714426439</v>
      </c>
      <c r="U16" s="215">
        <f t="shared" ca="1" si="15"/>
        <v>4</v>
      </c>
      <c r="V16" s="217">
        <f t="shared" si="36"/>
        <v>0.10772777714426439</v>
      </c>
      <c r="W16" s="218">
        <f t="shared" si="16"/>
        <v>0.91821261187696823</v>
      </c>
      <c r="X16" s="218">
        <f t="shared" si="17"/>
        <v>1.0327149552492128</v>
      </c>
      <c r="Y16" s="218">
        <f t="shared" si="18"/>
        <v>1.2453621643690953</v>
      </c>
      <c r="Z16" s="219">
        <f t="shared" si="19"/>
        <v>1.0327149552492128</v>
      </c>
      <c r="AA16" s="220" t="str">
        <f t="shared" si="20"/>
        <v>GU(F): Eksterne forhold</v>
      </c>
      <c r="AB16" s="220"/>
      <c r="AC16" s="220"/>
      <c r="AD16" s="220">
        <f t="shared" si="21"/>
        <v>0.9461361114278678</v>
      </c>
      <c r="AE16" s="217">
        <v>1</v>
      </c>
      <c r="AF16" s="220">
        <f t="shared" si="22"/>
        <v>1.0538638885721321</v>
      </c>
      <c r="AG16" s="218">
        <f t="shared" si="37"/>
        <v>0.10772777714426429</v>
      </c>
      <c r="AH16" s="218">
        <f t="shared" si="38"/>
        <v>0</v>
      </c>
      <c r="AI16" s="220"/>
      <c r="AJ16" s="221">
        <f t="shared" ca="1" si="23"/>
        <v>6.0596874643648713E-2</v>
      </c>
      <c r="AK16" s="221"/>
      <c r="AL16" s="218">
        <f t="shared" ca="1" si="24"/>
        <v>0.96970156267817564</v>
      </c>
      <c r="AM16" s="218">
        <f t="shared" ca="1" si="25"/>
        <v>1</v>
      </c>
      <c r="AN16" s="218">
        <f t="shared" ca="1" si="26"/>
        <v>1.0302984373218242</v>
      </c>
      <c r="AO16" s="221"/>
      <c r="AP16" s="222" t="str">
        <f t="shared" ca="1" si="27"/>
        <v>#6: Opg13: Råhus, P= 6,1%</v>
      </c>
      <c r="AQ16" s="222"/>
      <c r="AR16" s="221">
        <f t="shared" ca="1" si="28"/>
        <v>6.0596874643648713E-2</v>
      </c>
      <c r="AS16" s="221">
        <f t="shared" ca="1" si="29"/>
        <v>0.7142857142857143</v>
      </c>
      <c r="AT16" s="221">
        <f t="shared" ca="1" si="30"/>
        <v>1.4285714285714286</v>
      </c>
      <c r="AU16" s="221">
        <f t="shared" ca="1" si="31"/>
        <v>0.95238095238095233</v>
      </c>
      <c r="AV16" s="221"/>
      <c r="AW16" s="221">
        <f t="shared" ca="1" si="32"/>
        <v>0.7142857142857143</v>
      </c>
      <c r="AX16" s="221">
        <f t="shared" ca="1" si="33"/>
        <v>0.95238095238095233</v>
      </c>
      <c r="AY16" s="221">
        <f t="shared" ca="1" si="34"/>
        <v>1.4285714285714286</v>
      </c>
      <c r="AZ16" s="209"/>
      <c r="BA16" s="289">
        <f t="shared" si="35"/>
        <v>305.67059999999998</v>
      </c>
      <c r="BB16" s="290">
        <f t="shared" si="39"/>
        <v>0.91821261187696823</v>
      </c>
      <c r="BC16" s="290">
        <f t="shared" si="40"/>
        <v>1.0327149552492128</v>
      </c>
      <c r="BD16" s="290">
        <f t="shared" si="41"/>
        <v>1.2453621643690953</v>
      </c>
      <c r="BE16" s="94">
        <f t="shared" si="42"/>
        <v>1.0523439283987404</v>
      </c>
      <c r="BF16" s="70">
        <f t="shared" si="43"/>
        <v>16</v>
      </c>
      <c r="BG16" s="94">
        <f t="shared" si="44"/>
        <v>0.15013328142832527</v>
      </c>
      <c r="BH16" s="261">
        <f t="shared" si="45"/>
        <v>5.2343928398740358E-2</v>
      </c>
      <c r="BI16" s="261">
        <f t="shared" si="46"/>
        <v>0</v>
      </c>
    </row>
    <row r="17" spans="1:61" ht="15.65" customHeight="1">
      <c r="A17" s="335" t="s">
        <v>160</v>
      </c>
      <c r="B17" s="335">
        <v>1</v>
      </c>
      <c r="C17" s="336" t="s">
        <v>156</v>
      </c>
      <c r="D17" s="260">
        <v>-10</v>
      </c>
      <c r="E17" s="260">
        <v>5</v>
      </c>
      <c r="F17" s="260">
        <v>25</v>
      </c>
      <c r="H17" s="283">
        <f t="shared" si="8"/>
        <v>6</v>
      </c>
      <c r="I17" s="284">
        <f t="shared" si="9"/>
        <v>7</v>
      </c>
      <c r="J17" s="199">
        <v>1</v>
      </c>
      <c r="K17" s="70">
        <f t="shared" si="10"/>
        <v>49</v>
      </c>
      <c r="L17" s="87">
        <f t="shared" si="11"/>
        <v>1.3196652700172387E-2</v>
      </c>
      <c r="M17" s="68"/>
      <c r="N17" s="103" t="s">
        <v>192</v>
      </c>
      <c r="O17" s="346">
        <f t="shared" si="12"/>
        <v>1.6357477624606487E-2</v>
      </c>
      <c r="Q17" s="215">
        <v>1</v>
      </c>
      <c r="R17" s="215">
        <f t="shared" ca="1" si="13"/>
        <v>7</v>
      </c>
      <c r="S17" s="215">
        <f t="shared" ca="1" si="13"/>
        <v>7</v>
      </c>
      <c r="T17" s="244">
        <f t="shared" ca="1" si="14"/>
        <v>1.3197352700172386E-2</v>
      </c>
      <c r="U17" s="215">
        <f t="shared" ca="1" si="15"/>
        <v>12</v>
      </c>
      <c r="V17" s="217">
        <f t="shared" si="36"/>
        <v>1.3196652700172387E-2</v>
      </c>
      <c r="W17" s="218">
        <f t="shared" si="16"/>
        <v>0.96728504475078725</v>
      </c>
      <c r="X17" s="218">
        <f t="shared" si="17"/>
        <v>1.0163574776246063</v>
      </c>
      <c r="Y17" s="218">
        <f t="shared" si="18"/>
        <v>1.0817873881230318</v>
      </c>
      <c r="Z17" s="219">
        <f t="shared" si="19"/>
        <v>1.0327149552492128</v>
      </c>
      <c r="AA17" s="220" t="str">
        <f t="shared" si="20"/>
        <v>GU(G): Byggepris-indeks</v>
      </c>
      <c r="AB17" s="220"/>
      <c r="AC17" s="220"/>
      <c r="AD17" s="220">
        <f t="shared" si="21"/>
        <v>0.99340167364991383</v>
      </c>
      <c r="AE17" s="217">
        <v>1</v>
      </c>
      <c r="AF17" s="220">
        <f t="shared" si="22"/>
        <v>1.0065983263500862</v>
      </c>
      <c r="AG17" s="218">
        <f t="shared" si="37"/>
        <v>1.319665270017234E-2</v>
      </c>
      <c r="AH17" s="218">
        <f t="shared" si="38"/>
        <v>-4.6837533851373792E-17</v>
      </c>
      <c r="AI17" s="220"/>
      <c r="AJ17" s="221">
        <f t="shared" ca="1" si="23"/>
        <v>6.0596874643648713E-2</v>
      </c>
      <c r="AK17" s="221"/>
      <c r="AL17" s="218">
        <f t="shared" ca="1" si="24"/>
        <v>0.96970156267817564</v>
      </c>
      <c r="AM17" s="218">
        <f t="shared" ca="1" si="25"/>
        <v>1</v>
      </c>
      <c r="AN17" s="218">
        <f t="shared" ca="1" si="26"/>
        <v>1.0302984373218242</v>
      </c>
      <c r="AO17" s="221"/>
      <c r="AP17" s="222" t="str">
        <f t="shared" ca="1" si="27"/>
        <v>#7: GU(I): Politisk indf., P= 6,1%</v>
      </c>
      <c r="AQ17" s="222"/>
      <c r="AR17" s="221">
        <f t="shared" ca="1" si="28"/>
        <v>6.0596874643648713E-2</v>
      </c>
      <c r="AS17" s="221">
        <f t="shared" ca="1" si="29"/>
        <v>0.91821261187696823</v>
      </c>
      <c r="AT17" s="221">
        <f t="shared" ca="1" si="30"/>
        <v>1.1635747762460635</v>
      </c>
      <c r="AU17" s="221">
        <f t="shared" ca="1" si="31"/>
        <v>1.0327149552492128</v>
      </c>
      <c r="AV17" s="221"/>
      <c r="AW17" s="221">
        <f t="shared" ca="1" si="32"/>
        <v>0.91821261187696823</v>
      </c>
      <c r="AX17" s="221">
        <f t="shared" ca="1" si="33"/>
        <v>1.0327149552492128</v>
      </c>
      <c r="AY17" s="221">
        <f t="shared" ca="1" si="34"/>
        <v>1.1635747762460635</v>
      </c>
      <c r="AZ17" s="209"/>
      <c r="BA17" s="289">
        <f t="shared" si="35"/>
        <v>305.67059999999998</v>
      </c>
      <c r="BB17" s="290">
        <f t="shared" si="39"/>
        <v>0.96728504475078725</v>
      </c>
      <c r="BC17" s="290">
        <f t="shared" si="40"/>
        <v>1.0163574776246063</v>
      </c>
      <c r="BD17" s="290">
        <f t="shared" si="41"/>
        <v>1.0817873881230318</v>
      </c>
      <c r="BE17" s="94">
        <f t="shared" si="42"/>
        <v>1.0196289731495276</v>
      </c>
      <c r="BF17" s="70">
        <f t="shared" si="43"/>
        <v>6</v>
      </c>
      <c r="BG17" s="94">
        <f t="shared" si="44"/>
        <v>5.6299980535621977E-2</v>
      </c>
      <c r="BH17" s="261">
        <f t="shared" si="45"/>
        <v>1.9628973149527607E-2</v>
      </c>
      <c r="BI17" s="261">
        <f t="shared" si="46"/>
        <v>0</v>
      </c>
    </row>
    <row r="18" spans="1:61" ht="18.350000000000001" customHeight="1">
      <c r="A18" s="335" t="s">
        <v>161</v>
      </c>
      <c r="B18" s="335">
        <v>1</v>
      </c>
      <c r="C18" s="336" t="s">
        <v>165</v>
      </c>
      <c r="D18" s="260">
        <v>-25</v>
      </c>
      <c r="E18" s="260">
        <v>15</v>
      </c>
      <c r="F18" s="260">
        <v>75</v>
      </c>
      <c r="H18" s="283">
        <f t="shared" si="8"/>
        <v>19</v>
      </c>
      <c r="I18" s="284">
        <f t="shared" si="9"/>
        <v>20</v>
      </c>
      <c r="J18" s="199">
        <v>1</v>
      </c>
      <c r="K18" s="70">
        <f t="shared" si="10"/>
        <v>400</v>
      </c>
      <c r="L18" s="87">
        <f t="shared" si="11"/>
        <v>0.10772777714426439</v>
      </c>
      <c r="M18" s="68"/>
      <c r="N18" s="103" t="s">
        <v>193</v>
      </c>
      <c r="O18" s="346">
        <f t="shared" si="12"/>
        <v>6.5429910498425503E-2</v>
      </c>
      <c r="Q18" s="215">
        <v>1</v>
      </c>
      <c r="R18" s="215">
        <f t="shared" ca="1" si="13"/>
        <v>8</v>
      </c>
      <c r="S18" s="215">
        <f t="shared" ca="1" si="13"/>
        <v>8</v>
      </c>
      <c r="T18" s="244">
        <f t="shared" ca="1" si="14"/>
        <v>0.10772857714426438</v>
      </c>
      <c r="U18" s="215">
        <f t="shared" ca="1" si="15"/>
        <v>3</v>
      </c>
      <c r="V18" s="217">
        <f>+L18</f>
        <v>0.10772777714426439</v>
      </c>
      <c r="W18" s="218">
        <f t="shared" si="16"/>
        <v>0.91821261187696823</v>
      </c>
      <c r="X18" s="218">
        <f t="shared" si="17"/>
        <v>1.049072432873819</v>
      </c>
      <c r="Y18" s="218">
        <f t="shared" si="18"/>
        <v>1.2453621643690953</v>
      </c>
      <c r="Z18" s="219">
        <f t="shared" si="19"/>
        <v>1.0327149552492128</v>
      </c>
      <c r="AA18" s="220" t="str">
        <f t="shared" si="20"/>
        <v>GU(H): Krav- og kvalitets-styring</v>
      </c>
      <c r="AB18" s="220"/>
      <c r="AC18" s="220"/>
      <c r="AD18" s="220">
        <f t="shared" si="21"/>
        <v>0.9461361114278678</v>
      </c>
      <c r="AE18" s="217">
        <v>1</v>
      </c>
      <c r="AF18" s="220">
        <f t="shared" si="22"/>
        <v>1.0538638885721321</v>
      </c>
      <c r="AG18" s="218">
        <f t="shared" si="37"/>
        <v>0.10772777714426429</v>
      </c>
      <c r="AH18" s="218">
        <f t="shared" si="38"/>
        <v>0</v>
      </c>
      <c r="AI18" s="220"/>
      <c r="AJ18" s="221">
        <f t="shared" ca="1" si="23"/>
        <v>6.0596874643648713E-2</v>
      </c>
      <c r="AK18" s="221"/>
      <c r="AL18" s="218">
        <f t="shared" ca="1" si="24"/>
        <v>0.96970156267817564</v>
      </c>
      <c r="AM18" s="218">
        <f t="shared" ca="1" si="25"/>
        <v>1</v>
      </c>
      <c r="AN18" s="218">
        <f t="shared" ca="1" si="26"/>
        <v>1.0302984373218242</v>
      </c>
      <c r="AO18" s="221"/>
      <c r="AP18" s="222" t="str">
        <f t="shared" ca="1" si="27"/>
        <v>#8: GU(B): Grænseflader, P= 6,1%</v>
      </c>
      <c r="AQ18" s="222"/>
      <c r="AR18" s="221">
        <f t="shared" ca="1" si="28"/>
        <v>6.0596874643648713E-2</v>
      </c>
      <c r="AS18" s="221">
        <f t="shared" ca="1" si="29"/>
        <v>0.91821261187696823</v>
      </c>
      <c r="AT18" s="221">
        <f t="shared" ca="1" si="30"/>
        <v>1.1635747762460635</v>
      </c>
      <c r="AU18" s="221">
        <f t="shared" ca="1" si="31"/>
        <v>1</v>
      </c>
      <c r="AV18" s="221"/>
      <c r="AW18" s="221">
        <f t="shared" ca="1" si="32"/>
        <v>0.91821261187696823</v>
      </c>
      <c r="AX18" s="221">
        <f t="shared" ca="1" si="33"/>
        <v>1</v>
      </c>
      <c r="AY18" s="221">
        <f t="shared" ca="1" si="34"/>
        <v>1.1635747762460635</v>
      </c>
      <c r="AZ18" s="209"/>
      <c r="BA18" s="289">
        <f t="shared" si="35"/>
        <v>305.67059999999998</v>
      </c>
      <c r="BB18" s="290">
        <f t="shared" si="39"/>
        <v>0.91821261187696823</v>
      </c>
      <c r="BC18" s="290">
        <f t="shared" si="40"/>
        <v>1.049072432873819</v>
      </c>
      <c r="BD18" s="290">
        <f t="shared" si="41"/>
        <v>1.2453621643690953</v>
      </c>
      <c r="BE18" s="94">
        <f t="shared" si="42"/>
        <v>1.0621584149735042</v>
      </c>
      <c r="BF18" s="70">
        <f t="shared" si="43"/>
        <v>19</v>
      </c>
      <c r="BG18" s="94">
        <f t="shared" si="44"/>
        <v>0.17828327169613625</v>
      </c>
      <c r="BH18" s="261">
        <f t="shared" si="45"/>
        <v>6.2158414973504161E-2</v>
      </c>
      <c r="BI18" s="261">
        <f t="shared" si="46"/>
        <v>0</v>
      </c>
    </row>
    <row r="19" spans="1:61" ht="15.45">
      <c r="A19" s="335" t="s">
        <v>162</v>
      </c>
      <c r="B19" s="335">
        <v>1</v>
      </c>
      <c r="C19" s="336" t="s">
        <v>166</v>
      </c>
      <c r="D19" s="260">
        <v>-25</v>
      </c>
      <c r="E19" s="260">
        <v>10</v>
      </c>
      <c r="F19" s="260">
        <v>50</v>
      </c>
      <c r="H19" s="283">
        <f t="shared" si="8"/>
        <v>11</v>
      </c>
      <c r="I19" s="284">
        <f t="shared" si="9"/>
        <v>15</v>
      </c>
      <c r="J19" s="199">
        <v>1</v>
      </c>
      <c r="K19" s="70">
        <f t="shared" si="10"/>
        <v>225</v>
      </c>
      <c r="L19" s="87">
        <f t="shared" si="11"/>
        <v>6.0596874643648713E-2</v>
      </c>
      <c r="M19" s="68"/>
      <c r="N19" s="103" t="s">
        <v>195</v>
      </c>
      <c r="O19" s="346">
        <f t="shared" si="12"/>
        <v>1.6357477624606265E-2</v>
      </c>
      <c r="Q19" s="215">
        <v>1</v>
      </c>
      <c r="R19" s="215">
        <f t="shared" ca="1" si="13"/>
        <v>9</v>
      </c>
      <c r="S19" s="215">
        <f t="shared" ca="1" si="13"/>
        <v>9</v>
      </c>
      <c r="T19" s="244">
        <f t="shared" ca="1" si="14"/>
        <v>6.0597774643648711E-2</v>
      </c>
      <c r="U19" s="215">
        <f t="shared" ca="1" si="15"/>
        <v>7</v>
      </c>
      <c r="V19" s="217">
        <f t="shared" si="36"/>
        <v>6.0596874643648713E-2</v>
      </c>
      <c r="W19" s="218">
        <f t="shared" si="16"/>
        <v>0.91821261187696823</v>
      </c>
      <c r="X19" s="218">
        <f t="shared" si="17"/>
        <v>1.0327149552492128</v>
      </c>
      <c r="Y19" s="218">
        <f t="shared" si="18"/>
        <v>1.1635747762460635</v>
      </c>
      <c r="Z19" s="219">
        <f t="shared" si="19"/>
        <v>1.0327149552492128</v>
      </c>
      <c r="AA19" s="220" t="str">
        <f t="shared" si="20"/>
        <v>GU(I): Politisk indf.</v>
      </c>
      <c r="AB19" s="220"/>
      <c r="AC19" s="220"/>
      <c r="AD19" s="220">
        <f t="shared" si="21"/>
        <v>0.96970156267817564</v>
      </c>
      <c r="AE19" s="217">
        <v>1</v>
      </c>
      <c r="AF19" s="220">
        <f t="shared" si="22"/>
        <v>1.0302984373218242</v>
      </c>
      <c r="AG19" s="218">
        <f t="shared" si="37"/>
        <v>6.0596874643648602E-2</v>
      </c>
      <c r="AH19" s="218">
        <f t="shared" si="38"/>
        <v>-1.1102230246251565E-16</v>
      </c>
      <c r="AI19" s="220"/>
      <c r="AJ19" s="221">
        <f t="shared" ca="1" si="23"/>
        <v>3.2587652586139979E-2</v>
      </c>
      <c r="AK19" s="221"/>
      <c r="AL19" s="218">
        <f t="shared" ca="1" si="24"/>
        <v>0.98370617370693003</v>
      </c>
      <c r="AM19" s="218">
        <f t="shared" ca="1" si="25"/>
        <v>1</v>
      </c>
      <c r="AN19" s="218">
        <f t="shared" ca="1" si="26"/>
        <v>1.0162938262930701</v>
      </c>
      <c r="AO19" s="221"/>
      <c r="AP19" s="222" t="str">
        <f t="shared" ca="1" si="27"/>
        <v>#9: Opg40: Andet, P= 3,3%</v>
      </c>
      <c r="AQ19" s="222"/>
      <c r="AR19" s="221">
        <f t="shared" ca="1" si="28"/>
        <v>3.2587652586139979E-2</v>
      </c>
      <c r="AS19" s="221">
        <f t="shared" ca="1" si="29"/>
        <v>0.43478260869565216</v>
      </c>
      <c r="AT19" s="221">
        <f t="shared" ca="1" si="30"/>
        <v>1.6304347826086956</v>
      </c>
      <c r="AU19" s="221">
        <f t="shared" ca="1" si="31"/>
        <v>0.97826086956521741</v>
      </c>
      <c r="AV19" s="221"/>
      <c r="AW19" s="221">
        <f t="shared" ca="1" si="32"/>
        <v>0.43478260869565216</v>
      </c>
      <c r="AX19" s="221">
        <f t="shared" ca="1" si="33"/>
        <v>0.97826086956521741</v>
      </c>
      <c r="AY19" s="221">
        <f t="shared" ca="1" si="34"/>
        <v>1.6304347826086956</v>
      </c>
      <c r="AZ19" s="209"/>
      <c r="BA19" s="289">
        <f t="shared" si="35"/>
        <v>305.67059999999998</v>
      </c>
      <c r="BB19" s="290">
        <f t="shared" si="39"/>
        <v>0.91821261187696823</v>
      </c>
      <c r="BC19" s="290">
        <f t="shared" si="40"/>
        <v>1.0327149552492128</v>
      </c>
      <c r="BD19" s="290">
        <f t="shared" si="41"/>
        <v>1.1635747762460635</v>
      </c>
      <c r="BE19" s="94">
        <f t="shared" si="42"/>
        <v>1.0359864507741341</v>
      </c>
      <c r="BF19" s="70">
        <f t="shared" si="43"/>
        <v>11</v>
      </c>
      <c r="BG19" s="94">
        <f t="shared" si="44"/>
        <v>0.10321663098197362</v>
      </c>
      <c r="BH19" s="261">
        <f t="shared" si="45"/>
        <v>3.5986450774134093E-2</v>
      </c>
      <c r="BI19" s="261">
        <f t="shared" si="46"/>
        <v>0</v>
      </c>
    </row>
    <row r="20" spans="1:61" ht="15.45">
      <c r="A20" s="335" t="s">
        <v>163</v>
      </c>
      <c r="B20" s="335">
        <v>1</v>
      </c>
      <c r="C20" s="336" t="s">
        <v>167</v>
      </c>
      <c r="D20" s="260">
        <v>5</v>
      </c>
      <c r="E20" s="260">
        <v>15</v>
      </c>
      <c r="F20" s="260">
        <v>35</v>
      </c>
      <c r="H20" s="283">
        <f t="shared" si="8"/>
        <v>17</v>
      </c>
      <c r="I20" s="284">
        <f t="shared" si="9"/>
        <v>6</v>
      </c>
      <c r="J20" s="199">
        <v>1</v>
      </c>
      <c r="K20" s="70">
        <f t="shared" si="10"/>
        <v>36</v>
      </c>
      <c r="L20" s="87">
        <f t="shared" si="11"/>
        <v>9.695499942983795E-3</v>
      </c>
      <c r="M20" s="68"/>
      <c r="N20" s="103" t="s">
        <v>194</v>
      </c>
      <c r="O20" s="346">
        <f t="shared" si="12"/>
        <v>3.2714955249212752E-2</v>
      </c>
      <c r="Q20" s="215">
        <v>1</v>
      </c>
      <c r="R20" s="215">
        <f t="shared" ca="1" si="13"/>
        <v>10</v>
      </c>
      <c r="S20" s="215">
        <f t="shared" ca="1" si="13"/>
        <v>10</v>
      </c>
      <c r="T20" s="244">
        <f t="shared" ca="1" si="14"/>
        <v>9.6964999429837943E-3</v>
      </c>
      <c r="U20" s="215">
        <f t="shared" ca="1" si="15"/>
        <v>16</v>
      </c>
      <c r="V20" s="217">
        <f t="shared" si="36"/>
        <v>9.695499942983795E-3</v>
      </c>
      <c r="W20" s="218">
        <f t="shared" si="16"/>
        <v>1.0163574776246063</v>
      </c>
      <c r="X20" s="218">
        <f t="shared" si="17"/>
        <v>1.049072432873819</v>
      </c>
      <c r="Y20" s="218">
        <f t="shared" si="18"/>
        <v>1.1145023433722445</v>
      </c>
      <c r="Z20" s="219">
        <f t="shared" si="19"/>
        <v>1.0327149552492128</v>
      </c>
      <c r="AA20" s="220" t="str">
        <f t="shared" si="20"/>
        <v>GU(J): Geografisk-indeks</v>
      </c>
      <c r="AB20" s="220"/>
      <c r="AC20" s="220"/>
      <c r="AD20" s="220">
        <f t="shared" si="21"/>
        <v>0.99515225002850816</v>
      </c>
      <c r="AE20" s="217">
        <v>1</v>
      </c>
      <c r="AF20" s="220">
        <f t="shared" si="22"/>
        <v>1.0048477499714918</v>
      </c>
      <c r="AG20" s="218">
        <f t="shared" si="37"/>
        <v>9.6954999429836874E-3</v>
      </c>
      <c r="AH20" s="218">
        <f t="shared" si="38"/>
        <v>-1.0755285551056204E-16</v>
      </c>
      <c r="AI20" s="220"/>
      <c r="AJ20" s="221">
        <f t="shared" ca="1" si="23"/>
        <v>3.2587652586139979E-2</v>
      </c>
      <c r="AK20" s="221"/>
      <c r="AL20" s="218">
        <f t="shared" ca="1" si="24"/>
        <v>0.98370617370693003</v>
      </c>
      <c r="AM20" s="218">
        <f t="shared" ca="1" si="25"/>
        <v>1</v>
      </c>
      <c r="AN20" s="218">
        <f t="shared" ca="1" si="26"/>
        <v>1.0162938262930701</v>
      </c>
      <c r="AO20" s="221"/>
      <c r="AP20" s="222" t="str">
        <f t="shared" ca="1" si="27"/>
        <v>#10: Opg16: Installationer, P= 3,3%</v>
      </c>
      <c r="AQ20" s="222"/>
      <c r="AR20" s="221">
        <f t="shared" ca="1" si="28"/>
        <v>3.2587652586139979E-2</v>
      </c>
      <c r="AS20" s="221">
        <f t="shared" ca="1" si="29"/>
        <v>0.5</v>
      </c>
      <c r="AT20" s="221">
        <f t="shared" ca="1" si="30"/>
        <v>1.875</v>
      </c>
      <c r="AU20" s="221">
        <f t="shared" ca="1" si="31"/>
        <v>0.875</v>
      </c>
      <c r="AV20" s="221"/>
      <c r="AW20" s="221">
        <f t="shared" ca="1" si="32"/>
        <v>0.5</v>
      </c>
      <c r="AX20" s="221">
        <f t="shared" ca="1" si="33"/>
        <v>0.875</v>
      </c>
      <c r="AY20" s="221">
        <f t="shared" ca="1" si="34"/>
        <v>1.875</v>
      </c>
      <c r="AZ20" s="209"/>
      <c r="BA20" s="289">
        <f t="shared" si="35"/>
        <v>305.67059999999998</v>
      </c>
      <c r="BB20" s="290">
        <f t="shared" si="39"/>
        <v>1.0163574776246063</v>
      </c>
      <c r="BC20" s="290">
        <f t="shared" si="40"/>
        <v>1.049072432873819</v>
      </c>
      <c r="BD20" s="290">
        <f t="shared" si="41"/>
        <v>1.1145023433722445</v>
      </c>
      <c r="BE20" s="94">
        <f t="shared" si="42"/>
        <v>1.0556154239236615</v>
      </c>
      <c r="BF20" s="70">
        <f t="shared" si="43"/>
        <v>17</v>
      </c>
      <c r="BG20" s="94">
        <f t="shared" si="44"/>
        <v>0.15951661151759561</v>
      </c>
      <c r="BH20" s="261">
        <f t="shared" si="45"/>
        <v>5.5615423923661478E-2</v>
      </c>
      <c r="BI20" s="261">
        <f t="shared" si="46"/>
        <v>0</v>
      </c>
    </row>
    <row r="21" spans="1:61" ht="15.45">
      <c r="A21" s="335" t="s">
        <v>164</v>
      </c>
      <c r="B21" s="335">
        <v>1</v>
      </c>
      <c r="C21" s="336" t="s">
        <v>196</v>
      </c>
      <c r="D21" s="260">
        <v>-5</v>
      </c>
      <c r="E21" s="260">
        <v>0</v>
      </c>
      <c r="F21" s="260">
        <v>25</v>
      </c>
      <c r="H21" s="283">
        <f t="shared" si="8"/>
        <v>4</v>
      </c>
      <c r="I21" s="284">
        <f t="shared" si="9"/>
        <v>6</v>
      </c>
      <c r="J21" s="199">
        <v>1</v>
      </c>
      <c r="K21" s="70">
        <f t="shared" si="10"/>
        <v>36</v>
      </c>
      <c r="L21" s="87">
        <f t="shared" si="11"/>
        <v>9.695499942983795E-3</v>
      </c>
      <c r="M21" s="68"/>
      <c r="N21" s="103" t="s">
        <v>197</v>
      </c>
      <c r="O21" s="346">
        <f t="shared" si="12"/>
        <v>6.5429910498425392E-2</v>
      </c>
      <c r="Q21" s="215">
        <v>1</v>
      </c>
      <c r="R21" s="215">
        <f t="shared" ca="1" si="13"/>
        <v>11</v>
      </c>
      <c r="S21" s="215">
        <f t="shared" ca="1" si="13"/>
        <v>11</v>
      </c>
      <c r="T21" s="244">
        <f t="shared" ca="1" si="14"/>
        <v>9.6965999429837954E-3</v>
      </c>
      <c r="U21" s="215">
        <f t="shared" ca="1" si="15"/>
        <v>15</v>
      </c>
      <c r="V21" s="217">
        <f t="shared" ref="V21" si="47">+L21</f>
        <v>9.695499942983795E-3</v>
      </c>
      <c r="W21" s="218">
        <f t="shared" si="16"/>
        <v>0.98364252237539362</v>
      </c>
      <c r="X21" s="218">
        <f t="shared" si="17"/>
        <v>1</v>
      </c>
      <c r="Y21" s="218">
        <f t="shared" si="18"/>
        <v>1.0817873881230318</v>
      </c>
      <c r="Z21" s="219">
        <f t="shared" si="19"/>
        <v>1.0327149552492128</v>
      </c>
      <c r="AA21" s="220" t="str">
        <f t="shared" si="20"/>
        <v>GU(K): Medierne</v>
      </c>
      <c r="AB21" s="220"/>
      <c r="AC21" s="220"/>
      <c r="AD21" s="220">
        <f t="shared" si="21"/>
        <v>0.99515225002850816</v>
      </c>
      <c r="AE21" s="217">
        <v>1</v>
      </c>
      <c r="AF21" s="220">
        <f t="shared" si="22"/>
        <v>1.0048477499714918</v>
      </c>
      <c r="AG21" s="218">
        <f t="shared" ref="AG21" si="48">+AF21-AD21</f>
        <v>9.6954999429836874E-3</v>
      </c>
      <c r="AH21" s="218">
        <f t="shared" ref="AH21" si="49">+AG21-L21</f>
        <v>-1.0755285551056204E-16</v>
      </c>
      <c r="AI21" s="220"/>
      <c r="AJ21" s="221">
        <f t="shared" ca="1" si="23"/>
        <v>2.6931944286066097E-2</v>
      </c>
      <c r="AK21" s="221"/>
      <c r="AL21" s="218">
        <f t="shared" ca="1" si="24"/>
        <v>0.98653402785696698</v>
      </c>
      <c r="AM21" s="218">
        <f t="shared" ca="1" si="25"/>
        <v>1</v>
      </c>
      <c r="AN21" s="218">
        <f t="shared" ca="1" si="26"/>
        <v>1.013465972143033</v>
      </c>
      <c r="AO21" s="221"/>
      <c r="AP21" s="222" t="str">
        <f t="shared" ca="1" si="27"/>
        <v>#11: GU(Z): Analyse kvaliteten, P= 2,7%</v>
      </c>
      <c r="AQ21" s="222"/>
      <c r="AR21" s="221">
        <f t="shared" ca="1" si="28"/>
        <v>2.6931944286066097E-2</v>
      </c>
      <c r="AS21" s="221">
        <f t="shared" ca="1" si="29"/>
        <v>0.95092756712618098</v>
      </c>
      <c r="AT21" s="221">
        <f t="shared" ca="1" si="30"/>
        <v>1.1145023433722445</v>
      </c>
      <c r="AU21" s="221">
        <f t="shared" ca="1" si="31"/>
        <v>1.0327149552492128</v>
      </c>
      <c r="AV21" s="221"/>
      <c r="AW21" s="221">
        <f t="shared" ca="1" si="32"/>
        <v>0.95092756712618098</v>
      </c>
      <c r="AX21" s="221">
        <f t="shared" ca="1" si="33"/>
        <v>1.0327149552492128</v>
      </c>
      <c r="AY21" s="221">
        <f t="shared" ca="1" si="34"/>
        <v>1.1145023433722445</v>
      </c>
      <c r="AZ21" s="209"/>
      <c r="BA21" s="289">
        <f t="shared" si="35"/>
        <v>305.67059999999998</v>
      </c>
      <c r="BB21" s="290">
        <f t="shared" si="39"/>
        <v>0.98364252237539362</v>
      </c>
      <c r="BC21" s="290">
        <f t="shared" si="40"/>
        <v>1</v>
      </c>
      <c r="BD21" s="290">
        <f t="shared" si="41"/>
        <v>1.0817873881230318</v>
      </c>
      <c r="BE21" s="94">
        <f t="shared" si="42"/>
        <v>1.0130859820996849</v>
      </c>
      <c r="BF21" s="70">
        <f t="shared" si="43"/>
        <v>4</v>
      </c>
      <c r="BG21" s="94">
        <f t="shared" si="44"/>
        <v>3.7533320357081318E-2</v>
      </c>
      <c r="BH21" s="261">
        <f t="shared" si="45"/>
        <v>1.3085982099684923E-2</v>
      </c>
      <c r="BI21" s="261">
        <f t="shared" si="46"/>
        <v>0</v>
      </c>
    </row>
    <row r="22" spans="1:61" ht="29.6" thickBot="1">
      <c r="A22" s="89" t="s">
        <v>127</v>
      </c>
      <c r="B22" s="89">
        <v>1</v>
      </c>
      <c r="C22" s="71" t="s">
        <v>130</v>
      </c>
      <c r="D22" s="260">
        <v>-15</v>
      </c>
      <c r="E22" s="260">
        <v>10</v>
      </c>
      <c r="F22" s="260">
        <v>35</v>
      </c>
      <c r="H22" s="283">
        <f t="shared" si="8"/>
        <v>10</v>
      </c>
      <c r="I22" s="305">
        <f t="shared" si="9"/>
        <v>10</v>
      </c>
      <c r="J22" s="200">
        <v>1</v>
      </c>
      <c r="K22" s="70">
        <f t="shared" si="10"/>
        <v>100</v>
      </c>
      <c r="L22" s="87">
        <f t="shared" si="11"/>
        <v>2.6931944286066097E-2</v>
      </c>
      <c r="M22" s="68"/>
      <c r="N22" s="103" t="s">
        <v>131</v>
      </c>
      <c r="O22" s="346">
        <f t="shared" si="12"/>
        <v>0</v>
      </c>
      <c r="Q22" s="215">
        <v>1</v>
      </c>
      <c r="R22" s="215">
        <f t="shared" ca="1" si="13"/>
        <v>12</v>
      </c>
      <c r="S22" s="215">
        <f t="shared" ca="1" si="13"/>
        <v>12</v>
      </c>
      <c r="T22" s="244">
        <f t="shared" ca="1" si="14"/>
        <v>2.6933144286066097E-2</v>
      </c>
      <c r="U22" s="215">
        <f t="shared" ca="1" si="15"/>
        <v>11</v>
      </c>
      <c r="V22" s="217">
        <f t="shared" si="36"/>
        <v>2.6931944286066097E-2</v>
      </c>
      <c r="W22" s="218">
        <f t="shared" si="16"/>
        <v>0.95092756712618098</v>
      </c>
      <c r="X22" s="218">
        <f t="shared" si="17"/>
        <v>1.0327149552492128</v>
      </c>
      <c r="Y22" s="218">
        <f t="shared" si="18"/>
        <v>1.1145023433722445</v>
      </c>
      <c r="Z22" s="219">
        <f t="shared" si="19"/>
        <v>1.0327149552492128</v>
      </c>
      <c r="AA22" s="220" t="str">
        <f t="shared" si="20"/>
        <v>GU(Z): Analyse kvaliteten</v>
      </c>
      <c r="AB22" s="220"/>
      <c r="AC22" s="220"/>
      <c r="AD22" s="220">
        <f t="shared" si="21"/>
        <v>0.98653402785696698</v>
      </c>
      <c r="AE22" s="217">
        <v>1</v>
      </c>
      <c r="AF22" s="220">
        <f t="shared" si="22"/>
        <v>1.013465972143033</v>
      </c>
      <c r="AG22" s="218">
        <f t="shared" si="37"/>
        <v>2.6931944286066045E-2</v>
      </c>
      <c r="AH22" s="218">
        <f t="shared" si="38"/>
        <v>-5.2041704279304213E-17</v>
      </c>
      <c r="AI22" s="220"/>
      <c r="AJ22" s="217">
        <f t="shared" ca="1" si="23"/>
        <v>1.3196652700172387E-2</v>
      </c>
      <c r="AK22" s="217"/>
      <c r="AL22" s="218">
        <f t="shared" ca="1" si="24"/>
        <v>0.99340167364991383</v>
      </c>
      <c r="AM22" s="218">
        <f t="shared" ca="1" si="25"/>
        <v>1</v>
      </c>
      <c r="AN22" s="218">
        <f t="shared" ca="1" si="26"/>
        <v>1.0065983263500862</v>
      </c>
      <c r="AO22" s="217"/>
      <c r="AP22" s="222" t="str">
        <f t="shared" ca="1" si="27"/>
        <v>#12: GU(G): Byggepris-indeks, P= 1,3%</v>
      </c>
      <c r="AQ22" s="217"/>
      <c r="AR22" s="217">
        <f t="shared" ca="1" si="28"/>
        <v>1.3196652700172387E-2</v>
      </c>
      <c r="AS22" s="217">
        <f t="shared" ca="1" si="29"/>
        <v>0.96728504475078725</v>
      </c>
      <c r="AT22" s="217">
        <f t="shared" ca="1" si="30"/>
        <v>1.0817873881230318</v>
      </c>
      <c r="AU22" s="217">
        <f t="shared" ca="1" si="31"/>
        <v>1.0163574776246063</v>
      </c>
      <c r="AV22" s="217"/>
      <c r="AW22" s="221">
        <f t="shared" ca="1" si="32"/>
        <v>0.96728504475078725</v>
      </c>
      <c r="AX22" s="221">
        <f t="shared" ca="1" si="33"/>
        <v>1.0163574776246063</v>
      </c>
      <c r="AY22" s="221">
        <f t="shared" ca="1" si="34"/>
        <v>1.0817873881230318</v>
      </c>
      <c r="AZ22" s="209"/>
      <c r="BA22" s="289">
        <f t="shared" si="35"/>
        <v>305.67059999999998</v>
      </c>
      <c r="BB22" s="290">
        <f t="shared" si="39"/>
        <v>0.95092756712618098</v>
      </c>
      <c r="BC22" s="290">
        <f t="shared" si="40"/>
        <v>1.0327149552492128</v>
      </c>
      <c r="BD22" s="290">
        <f t="shared" si="41"/>
        <v>1.1145023433722445</v>
      </c>
      <c r="BE22" s="94">
        <f t="shared" si="42"/>
        <v>1.0327149552492128</v>
      </c>
      <c r="BF22" s="70">
        <f t="shared" si="43"/>
        <v>10</v>
      </c>
      <c r="BG22" s="94">
        <f t="shared" si="44"/>
        <v>9.3833300892703295E-2</v>
      </c>
      <c r="BH22" s="299">
        <f t="shared" si="45"/>
        <v>3.2714955249212752E-2</v>
      </c>
      <c r="BI22" s="299">
        <f t="shared" si="46"/>
        <v>0</v>
      </c>
    </row>
    <row r="23" spans="1:61" ht="30.9" customHeight="1" thickBot="1">
      <c r="A23" s="13"/>
      <c r="B23" s="13"/>
      <c r="C23" s="24"/>
      <c r="D23" s="73" t="str">
        <f>+_xlfn.CONCAT(C10," :")</f>
        <v>Generelle Usikkerheder :</v>
      </c>
      <c r="E23" s="74"/>
      <c r="F23" s="75"/>
      <c r="H23" s="304">
        <f>+SUM(H11:H22)</f>
        <v>120.5</v>
      </c>
      <c r="I23" s="306">
        <f>100%+IFERROR(Mean_GUs/Mean_Tasks,0%)</f>
        <v>1.3147115585135014</v>
      </c>
      <c r="J23" s="201"/>
      <c r="K23" s="76">
        <f>+IFERROR(SUM(K11:K22),0)</f>
        <v>2784.25</v>
      </c>
      <c r="L23" s="129">
        <f>+SUM(L11:L22)</f>
        <v>0.74985265878479512</v>
      </c>
      <c r="M23" s="64"/>
      <c r="N23" s="136"/>
      <c r="O23" s="249"/>
      <c r="Q23" s="137"/>
      <c r="R23" s="137"/>
      <c r="S23" s="137"/>
      <c r="T23" s="244"/>
      <c r="U23" s="138"/>
      <c r="V23" s="138"/>
      <c r="W23" s="138"/>
      <c r="X23" s="138"/>
      <c r="Y23" s="138"/>
      <c r="Z23" s="138"/>
      <c r="AA23" s="220"/>
      <c r="AB23" s="220"/>
      <c r="AC23" s="220"/>
      <c r="AD23" s="220"/>
      <c r="AE23" s="220"/>
      <c r="AF23" s="220"/>
      <c r="AG23" s="220"/>
      <c r="AH23" s="220"/>
      <c r="AI23" s="220"/>
      <c r="AJ23" s="138"/>
      <c r="AK23" s="138"/>
      <c r="AL23" s="138"/>
      <c r="AM23" s="138"/>
      <c r="AN23" s="138"/>
      <c r="AO23" s="138"/>
      <c r="AP23" s="216"/>
      <c r="AQ23" s="216"/>
      <c r="AR23" s="216"/>
      <c r="AS23" s="216"/>
      <c r="AT23" s="138"/>
      <c r="AU23" s="216"/>
      <c r="AV23" s="216"/>
      <c r="AW23" s="216"/>
      <c r="AX23" s="216"/>
      <c r="AY23" s="216"/>
      <c r="AZ23" s="223"/>
      <c r="BB23" s="58"/>
      <c r="BF23" s="76">
        <f>+SUM(BF11:BF22)</f>
        <v>106.57197290154826</v>
      </c>
      <c r="BG23" s="259">
        <f>+SUM(BG11:BG22)</f>
        <v>2.5707532259358614</v>
      </c>
      <c r="BH23" s="300">
        <f>100%+SUM(BH11:BH22)</f>
        <v>1.4073011928526982</v>
      </c>
      <c r="BI23" s="300">
        <f>100%+SUM(BI11:BI22)</f>
        <v>1</v>
      </c>
    </row>
    <row r="24" spans="1:61" ht="22.85" customHeight="1">
      <c r="A24" s="13"/>
      <c r="B24" s="13"/>
      <c r="C24" s="1"/>
      <c r="D24" s="1"/>
      <c r="E24" s="1"/>
      <c r="F24" s="214" t="s">
        <v>137</v>
      </c>
      <c r="H24" s="258">
        <f>Project_Uncertainty</f>
        <v>0.12545925596375515</v>
      </c>
      <c r="I24" s="272"/>
      <c r="J24" s="202"/>
      <c r="K24" s="312" t="s">
        <v>5</v>
      </c>
      <c r="L24" s="313">
        <f>+Project_UncertaintyShare_GeneralUncert+Project_UncertaintyShare_Tasks</f>
        <v>0.99999999999999989</v>
      </c>
      <c r="N24" s="121" t="s">
        <v>144</v>
      </c>
      <c r="Q24" s="139"/>
      <c r="R24" s="138"/>
      <c r="S24" s="138"/>
      <c r="T24" s="244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  <c r="AI24" s="138"/>
      <c r="AJ24" s="138"/>
      <c r="AK24" s="138"/>
      <c r="AL24" s="138"/>
      <c r="AM24" s="138"/>
      <c r="AN24" s="138"/>
      <c r="AO24" s="138"/>
      <c r="AP24" s="216"/>
      <c r="AQ24" s="216"/>
      <c r="AR24" s="216"/>
      <c r="AS24" s="216"/>
      <c r="AT24" s="138"/>
      <c r="AU24" s="216"/>
      <c r="AV24" s="216"/>
      <c r="AW24" s="216"/>
      <c r="AX24" s="216"/>
      <c r="AY24" s="216"/>
      <c r="BA24" s="223"/>
      <c r="BB24" s="266" t="str">
        <f>+C26</f>
        <v>Opgaver</v>
      </c>
    </row>
    <row r="25" spans="1:61" ht="20.149999999999999" customHeight="1">
      <c r="A25" s="13"/>
      <c r="B25" s="13"/>
      <c r="C25" s="1"/>
      <c r="D25" s="160" t="s">
        <v>100</v>
      </c>
      <c r="E25" s="159" t="s">
        <v>199</v>
      </c>
      <c r="I25" s="236"/>
      <c r="N25" s="22"/>
      <c r="Q25" s="139"/>
      <c r="R25" s="138"/>
      <c r="S25" s="138"/>
      <c r="T25" s="244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216"/>
      <c r="AQ25" s="216"/>
      <c r="AR25" s="216"/>
      <c r="AS25" s="216"/>
      <c r="AT25" s="138"/>
      <c r="AU25" s="216"/>
      <c r="AV25" s="216"/>
      <c r="AW25" s="216"/>
      <c r="AX25" s="216"/>
      <c r="AY25" s="216"/>
      <c r="BA25" s="214" t="s">
        <v>109</v>
      </c>
      <c r="BB25" s="287">
        <f>+SUMIFS($H$27:$H$39,$H$27:$H$39,"&lt;0")</f>
        <v>0</v>
      </c>
      <c r="BC25" s="307">
        <f>+IFERROR(ABS(Task_Sum_Costs)/$BB$27,0)</f>
        <v>0</v>
      </c>
    </row>
    <row r="26" spans="1:61" s="64" customFormat="1" ht="22.85" customHeight="1">
      <c r="A26" s="162" t="str">
        <f>+A10</f>
        <v>Ref.</v>
      </c>
      <c r="B26" s="162" t="str">
        <f>+B10</f>
        <v>Incl.</v>
      </c>
      <c r="C26" s="163" t="s">
        <v>67</v>
      </c>
      <c r="D26" s="311" t="str">
        <f>+$D$10</f>
        <v>Min</v>
      </c>
      <c r="E26" s="273" t="str">
        <f>+$E$10</f>
        <v>M.S.</v>
      </c>
      <c r="F26" s="274" t="str">
        <f>+$F$10</f>
        <v>Max</v>
      </c>
      <c r="G26"/>
      <c r="H26" s="167" t="str">
        <f>+$H$10</f>
        <v>Middel</v>
      </c>
      <c r="I26" s="168" t="str">
        <f>+$I$10</f>
        <v>Std</v>
      </c>
      <c r="J26" s="169" t="str">
        <f>+$J$10</f>
        <v>Kriticality</v>
      </c>
      <c r="K26" s="169" t="str">
        <f>+$K$10</f>
        <v>Var</v>
      </c>
      <c r="L26" s="170" t="s">
        <v>3</v>
      </c>
      <c r="M26" s="171"/>
      <c r="N26" s="172" t="s">
        <v>19</v>
      </c>
      <c r="O26" s="345" t="str">
        <f>+O10</f>
        <v>Skævhed</v>
      </c>
      <c r="P26" s="13"/>
      <c r="Q26" s="224"/>
      <c r="R26" s="225"/>
      <c r="S26" s="225"/>
      <c r="T26" s="24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6"/>
      <c r="AQ26" s="226"/>
      <c r="AR26" s="226"/>
      <c r="AS26" s="226"/>
      <c r="AT26" s="225"/>
      <c r="AU26" s="226"/>
      <c r="AV26" s="226"/>
      <c r="AW26" s="226"/>
      <c r="AX26" s="226"/>
      <c r="AY26" s="226"/>
      <c r="BA26" s="214" t="s">
        <v>110</v>
      </c>
      <c r="BB26" s="287">
        <f>+SUMIFS($H$27:$H$39,$H$27:$H$39,"&gt;0")</f>
        <v>305.67059999999998</v>
      </c>
      <c r="BC26" s="307">
        <f>+IFERROR(ABS(Task_Sum_Income)/$BB$27,0)</f>
        <v>1</v>
      </c>
    </row>
    <row r="27" spans="1:61" ht="15.45">
      <c r="A27" s="89">
        <v>11</v>
      </c>
      <c r="B27" s="89">
        <v>1</v>
      </c>
      <c r="C27" s="44" t="s">
        <v>168</v>
      </c>
      <c r="D27" s="260">
        <v>5</v>
      </c>
      <c r="E27" s="260">
        <v>10</v>
      </c>
      <c r="F27" s="260">
        <v>35</v>
      </c>
      <c r="G27" s="352">
        <f>+SUM(H27:H33)/Mean_Tasks</f>
        <v>0.6868808289547792</v>
      </c>
      <c r="H27" s="298">
        <f t="shared" ref="H27:H39" si="50">+$B27*(D27+FaktorA*E27+F27)/DivisorA</f>
        <v>14</v>
      </c>
      <c r="I27" s="70">
        <f t="shared" ref="I27:I39" si="51">+$B27*(F27-D27)/DivisorB</f>
        <v>6</v>
      </c>
      <c r="J27" s="199">
        <v>1</v>
      </c>
      <c r="K27" s="70">
        <f t="shared" ref="K27:K39" si="52">+I27*I27*J27</f>
        <v>36</v>
      </c>
      <c r="L27" s="87">
        <f t="shared" ref="L27:L32" si="53">+(IF(GrandTotal_Priority&lt;&gt;0,K27/GrandTotal_Priority,0))</f>
        <v>9.695499942983795E-3</v>
      </c>
      <c r="M27" s="69"/>
      <c r="N27" s="355" t="s">
        <v>209</v>
      </c>
      <c r="O27" s="347">
        <f t="shared" ref="O27:O39" si="54">+(IFERROR(((F27-E27)-(E27-D27))/E27,0))</f>
        <v>2</v>
      </c>
      <c r="Q27" s="215">
        <v>1</v>
      </c>
      <c r="R27" s="215">
        <f t="shared" ref="R27:R46" ca="1" si="55">+SUM(INDIRECT("q10:q"&amp;ROW()-0))</f>
        <v>13</v>
      </c>
      <c r="S27" s="328">
        <f t="shared" ref="S27:S46" ca="1" si="56">+SUM(INDIRECT("q25:q"&amp;ROW()-0))</f>
        <v>1</v>
      </c>
      <c r="T27" s="244">
        <f t="shared" ref="T27:T39" ca="1" si="57">+L27+R27*deltaId</f>
        <v>9.6967999429837942E-3</v>
      </c>
      <c r="U27" s="215">
        <f t="shared" ref="U27:U46" ca="1" si="58">+RANK(T27,T$11:T$52)</f>
        <v>14</v>
      </c>
      <c r="V27" s="217">
        <f t="shared" ref="V27:V39" si="59">+L27</f>
        <v>9.695499942983795E-3</v>
      </c>
      <c r="W27" s="218">
        <f t="shared" ref="W27:W39" si="60">+IFERROR(D27/$H27,0)</f>
        <v>0.35714285714285715</v>
      </c>
      <c r="X27" s="218">
        <f t="shared" ref="X27:X39" si="61">+IFERROR(E27/$H27,0)</f>
        <v>0.7142857142857143</v>
      </c>
      <c r="Y27" s="218">
        <f t="shared" ref="Y27:Y39" si="62">+IFERROR(F27/$H27,0)</f>
        <v>2.5</v>
      </c>
      <c r="Z27" s="219">
        <f t="shared" ref="Z27:Z46" si="63">+$BC$11</f>
        <v>1.0327149552492128</v>
      </c>
      <c r="AA27" s="220" t="str">
        <f t="shared" ref="AA27:AA39" si="64">+CONCATENATE("Opg",A27,": ",$C27)</f>
        <v>Opg11: Nedbrydning</v>
      </c>
      <c r="AB27" s="220"/>
      <c r="AC27" s="220"/>
      <c r="AD27" s="220">
        <f t="shared" ref="AD27:AD46" si="65">+$AE27-(1/2)*$K27/GrandTotal_Priority</f>
        <v>0.99515225002850816</v>
      </c>
      <c r="AE27" s="217">
        <v>1</v>
      </c>
      <c r="AF27" s="220">
        <f t="shared" ref="AF27:AF46" si="66">+$AE27+(1/2)*$K27/GrandTotal_Priority</f>
        <v>1.0048477499714918</v>
      </c>
      <c r="AG27" s="218">
        <f t="shared" ref="AG27" si="67">+AF27-AD27</f>
        <v>9.6954999429836874E-3</v>
      </c>
      <c r="AH27" s="218">
        <f>+AG27-L27</f>
        <v>-1.0755285551056204E-16</v>
      </c>
      <c r="AI27" s="220"/>
      <c r="AJ27" s="217">
        <f t="shared" ref="AJ27:AJ46" ca="1" si="68">+VLOOKUP($R27,$U$11:$AA$52,$V$9,FALSE)</f>
        <v>1.0514769688165925E-2</v>
      </c>
      <c r="AK27" s="217"/>
      <c r="AL27" s="217"/>
      <c r="AM27" s="217"/>
      <c r="AN27" s="217"/>
      <c r="AO27" s="217"/>
      <c r="AP27" s="217" t="str">
        <f t="shared" ref="AP27:AP46" ca="1" si="69">+CONCATENATE("#",R27,": ",VLOOKUP($R27,$U$11:$AA$52,$AA$9,FALSE))</f>
        <v>#13: Opg97: UF'ere (Unk Unks)</v>
      </c>
      <c r="AQ27" s="217"/>
      <c r="AR27" s="217"/>
      <c r="AS27" s="217">
        <f t="shared" ref="AS27:AS46" ca="1" si="70">+VLOOKUP($R27,$U$11:$AA$52,$W$9,FALSE)</f>
        <v>-0.30609527273735837</v>
      </c>
      <c r="AT27" s="217">
        <f t="shared" ref="AT27:AT46" ca="1" si="71">+VLOOKUP($R27,$U$11:$AA$52,$Y$9,FALSE)</f>
        <v>2.3060952727373585</v>
      </c>
      <c r="AU27" s="217">
        <f t="shared" ref="AU27:AU46" ca="1" si="72">+VLOOKUP($R27,$U$11:$AA$52,$X$9,FALSE)</f>
        <v>1</v>
      </c>
      <c r="AV27" s="217"/>
      <c r="AW27" s="217"/>
      <c r="AX27" s="217"/>
      <c r="AY27" s="217"/>
      <c r="BA27" s="227"/>
      <c r="BB27" s="287">
        <f>+ABS(Task_Sum_Costs)+ABS(Task_Sum_Income)</f>
        <v>305.67059999999998</v>
      </c>
    </row>
    <row r="28" spans="1:61" ht="15.45">
      <c r="A28" s="89">
        <v>12</v>
      </c>
      <c r="B28" s="89">
        <v>1</v>
      </c>
      <c r="C28" s="44" t="s">
        <v>169</v>
      </c>
      <c r="D28" s="260">
        <v>25</v>
      </c>
      <c r="E28" s="260">
        <v>30</v>
      </c>
      <c r="F28" s="260">
        <v>50</v>
      </c>
      <c r="H28" s="298">
        <f t="shared" si="50"/>
        <v>33</v>
      </c>
      <c r="I28" s="70">
        <f t="shared" si="51"/>
        <v>5</v>
      </c>
      <c r="J28" s="199">
        <v>1</v>
      </c>
      <c r="K28" s="70">
        <f t="shared" si="52"/>
        <v>25</v>
      </c>
      <c r="L28" s="87">
        <f t="shared" si="53"/>
        <v>6.7329860715165243E-3</v>
      </c>
      <c r="M28" s="69"/>
      <c r="N28" s="44"/>
      <c r="O28" s="347">
        <f t="shared" si="54"/>
        <v>0.5</v>
      </c>
      <c r="Q28" s="215">
        <v>1</v>
      </c>
      <c r="R28" s="215">
        <f t="shared" ca="1" si="55"/>
        <v>14</v>
      </c>
      <c r="S28" s="215">
        <f t="shared" ca="1" si="56"/>
        <v>2</v>
      </c>
      <c r="T28" s="244">
        <f t="shared" ca="1" si="57"/>
        <v>6.7343860715165247E-3</v>
      </c>
      <c r="U28" s="215">
        <f t="shared" ca="1" si="58"/>
        <v>18</v>
      </c>
      <c r="V28" s="217">
        <f t="shared" si="59"/>
        <v>6.7329860715165243E-3</v>
      </c>
      <c r="W28" s="218">
        <f t="shared" si="60"/>
        <v>0.75757575757575757</v>
      </c>
      <c r="X28" s="218">
        <f t="shared" si="61"/>
        <v>0.90909090909090906</v>
      </c>
      <c r="Y28" s="218">
        <f t="shared" si="62"/>
        <v>1.5151515151515151</v>
      </c>
      <c r="Z28" s="219">
        <f t="shared" si="63"/>
        <v>1.0327149552492128</v>
      </c>
      <c r="AA28" s="220" t="str">
        <f t="shared" si="64"/>
        <v>Opg12: Byggeplads</v>
      </c>
      <c r="AB28" s="220"/>
      <c r="AC28" s="220"/>
      <c r="AD28" s="220">
        <f t="shared" si="65"/>
        <v>0.99663350696424169</v>
      </c>
      <c r="AE28" s="217">
        <v>1</v>
      </c>
      <c r="AF28" s="220">
        <f t="shared" si="66"/>
        <v>1.0033664930357582</v>
      </c>
      <c r="AG28" s="218">
        <f t="shared" ref="AG28:AG31" si="73">+AF28-AD28</f>
        <v>6.7329860715165113E-3</v>
      </c>
      <c r="AH28" s="218">
        <f t="shared" ref="AH28:AH31" si="74">+AG28-L28</f>
        <v>-1.3010426069826053E-17</v>
      </c>
      <c r="AI28" s="220"/>
      <c r="AJ28" s="217">
        <f t="shared" ca="1" si="68"/>
        <v>9.695499942983795E-3</v>
      </c>
      <c r="AK28" s="217"/>
      <c r="AL28" s="217"/>
      <c r="AM28" s="217"/>
      <c r="AN28" s="217"/>
      <c r="AO28" s="217"/>
      <c r="AP28" s="217" t="str">
        <f t="shared" ca="1" si="69"/>
        <v>#14: Opg11: Nedbrydning</v>
      </c>
      <c r="AQ28" s="217"/>
      <c r="AR28" s="217"/>
      <c r="AS28" s="217">
        <f t="shared" ca="1" si="70"/>
        <v>0.35714285714285715</v>
      </c>
      <c r="AT28" s="217">
        <f t="shared" ca="1" si="71"/>
        <v>2.5</v>
      </c>
      <c r="AU28" s="217">
        <f t="shared" ca="1" si="72"/>
        <v>0.7142857142857143</v>
      </c>
      <c r="AV28" s="217"/>
      <c r="AW28" s="217"/>
      <c r="AX28" s="217"/>
      <c r="AY28" s="217"/>
      <c r="AZ28" s="227"/>
    </row>
    <row r="29" spans="1:61" ht="15.45">
      <c r="A29" s="89">
        <v>13</v>
      </c>
      <c r="B29" s="89">
        <v>1</v>
      </c>
      <c r="C29" s="44" t="s">
        <v>170</v>
      </c>
      <c r="D29" s="260">
        <v>75</v>
      </c>
      <c r="E29" s="260">
        <v>100</v>
      </c>
      <c r="F29" s="260">
        <v>150</v>
      </c>
      <c r="H29" s="298">
        <f t="shared" si="50"/>
        <v>105</v>
      </c>
      <c r="I29" s="70">
        <f t="shared" si="51"/>
        <v>15</v>
      </c>
      <c r="J29" s="199">
        <v>1</v>
      </c>
      <c r="K29" s="70">
        <f t="shared" si="52"/>
        <v>225</v>
      </c>
      <c r="L29" s="87">
        <f t="shared" si="53"/>
        <v>6.0596874643648713E-2</v>
      </c>
      <c r="M29" s="69"/>
      <c r="N29" s="44" t="s">
        <v>201</v>
      </c>
      <c r="O29" s="347">
        <f t="shared" si="54"/>
        <v>0.25</v>
      </c>
      <c r="Q29" s="215">
        <v>1</v>
      </c>
      <c r="R29" s="215">
        <f t="shared" ca="1" si="55"/>
        <v>15</v>
      </c>
      <c r="S29" s="215">
        <f t="shared" ca="1" si="56"/>
        <v>3</v>
      </c>
      <c r="T29" s="244">
        <f t="shared" ca="1" si="57"/>
        <v>6.0598374643648714E-2</v>
      </c>
      <c r="U29" s="215">
        <f t="shared" ca="1" si="58"/>
        <v>6</v>
      </c>
      <c r="V29" s="217">
        <f t="shared" si="59"/>
        <v>6.0596874643648713E-2</v>
      </c>
      <c r="W29" s="218">
        <f t="shared" si="60"/>
        <v>0.7142857142857143</v>
      </c>
      <c r="X29" s="218">
        <f t="shared" si="61"/>
        <v>0.95238095238095233</v>
      </c>
      <c r="Y29" s="218">
        <f t="shared" si="62"/>
        <v>1.4285714285714286</v>
      </c>
      <c r="Z29" s="219">
        <f t="shared" si="63"/>
        <v>1.0327149552492128</v>
      </c>
      <c r="AA29" s="220" t="str">
        <f t="shared" si="64"/>
        <v>Opg13: Råhus</v>
      </c>
      <c r="AB29" s="220"/>
      <c r="AC29" s="220"/>
      <c r="AD29" s="220">
        <f t="shared" si="65"/>
        <v>0.96970156267817564</v>
      </c>
      <c r="AE29" s="217">
        <v>1</v>
      </c>
      <c r="AF29" s="220">
        <f t="shared" si="66"/>
        <v>1.0302984373218242</v>
      </c>
      <c r="AG29" s="218">
        <f t="shared" si="73"/>
        <v>6.0596874643648602E-2</v>
      </c>
      <c r="AH29" s="218">
        <f t="shared" si="74"/>
        <v>-1.1102230246251565E-16</v>
      </c>
      <c r="AI29" s="220"/>
      <c r="AJ29" s="217">
        <f t="shared" ca="1" si="68"/>
        <v>9.695499942983795E-3</v>
      </c>
      <c r="AK29" s="217"/>
      <c r="AL29" s="217"/>
      <c r="AM29" s="217"/>
      <c r="AN29" s="217"/>
      <c r="AO29" s="217"/>
      <c r="AP29" s="217" t="str">
        <f t="shared" ca="1" si="69"/>
        <v>#15: GU(K): Medierne</v>
      </c>
      <c r="AQ29" s="217"/>
      <c r="AR29" s="217"/>
      <c r="AS29" s="217">
        <f t="shared" ca="1" si="70"/>
        <v>0.98364252237539362</v>
      </c>
      <c r="AT29" s="217">
        <f t="shared" ca="1" si="71"/>
        <v>1.0817873881230318</v>
      </c>
      <c r="AU29" s="217">
        <f t="shared" ca="1" si="72"/>
        <v>1</v>
      </c>
      <c r="AV29" s="217"/>
      <c r="AW29" s="217"/>
      <c r="AX29" s="217"/>
      <c r="AY29" s="217"/>
      <c r="AZ29" s="227"/>
    </row>
    <row r="30" spans="1:61" ht="17.149999999999999" customHeight="1">
      <c r="A30" s="89">
        <v>14</v>
      </c>
      <c r="B30" s="89">
        <v>1</v>
      </c>
      <c r="C30" s="44" t="s">
        <v>171</v>
      </c>
      <c r="D30" s="260">
        <v>6</v>
      </c>
      <c r="E30" s="260">
        <v>10</v>
      </c>
      <c r="F30" s="260">
        <v>15</v>
      </c>
      <c r="H30" s="298">
        <f>+$B30*(D30+FaktorA*E30+F30)/DivisorA</f>
        <v>10.199999999999999</v>
      </c>
      <c r="I30" s="70">
        <f t="shared" si="51"/>
        <v>1.8</v>
      </c>
      <c r="J30" s="199">
        <v>1</v>
      </c>
      <c r="K30" s="70">
        <f t="shared" si="52"/>
        <v>3.24</v>
      </c>
      <c r="L30" s="87">
        <f t="shared" si="53"/>
        <v>8.7259499486854158E-4</v>
      </c>
      <c r="M30" s="69"/>
      <c r="N30" s="44"/>
      <c r="O30" s="347">
        <f t="shared" si="54"/>
        <v>0.1</v>
      </c>
      <c r="Q30" s="215">
        <v>1</v>
      </c>
      <c r="R30" s="215">
        <f t="shared" ca="1" si="55"/>
        <v>16</v>
      </c>
      <c r="S30" s="215">
        <f t="shared" ca="1" si="56"/>
        <v>4</v>
      </c>
      <c r="T30" s="244">
        <f t="shared" ca="1" si="57"/>
        <v>8.7419499486854162E-4</v>
      </c>
      <c r="U30" s="215">
        <f t="shared" ca="1" si="58"/>
        <v>21</v>
      </c>
      <c r="V30" s="217">
        <f t="shared" si="59"/>
        <v>8.7259499486854158E-4</v>
      </c>
      <c r="W30" s="218">
        <f t="shared" si="60"/>
        <v>0.58823529411764708</v>
      </c>
      <c r="X30" s="218">
        <f t="shared" si="61"/>
        <v>0.98039215686274517</v>
      </c>
      <c r="Y30" s="218">
        <f t="shared" si="62"/>
        <v>1.4705882352941178</v>
      </c>
      <c r="Z30" s="219">
        <f t="shared" si="63"/>
        <v>1.0327149552492128</v>
      </c>
      <c r="AA30" s="220" t="str">
        <f t="shared" si="64"/>
        <v>Opg14: Lukning</v>
      </c>
      <c r="AB30" s="220"/>
      <c r="AC30" s="220"/>
      <c r="AD30" s="220">
        <f t="shared" si="65"/>
        <v>0.99956370250256577</v>
      </c>
      <c r="AE30" s="217">
        <v>1</v>
      </c>
      <c r="AF30" s="220">
        <f t="shared" si="66"/>
        <v>1.0004362974974343</v>
      </c>
      <c r="AG30" s="218">
        <f t="shared" si="73"/>
        <v>8.7259499486858072E-4</v>
      </c>
      <c r="AH30" s="218">
        <f t="shared" si="74"/>
        <v>3.913969842672671E-17</v>
      </c>
      <c r="AI30" s="220"/>
      <c r="AJ30" s="217">
        <f t="shared" ca="1" si="68"/>
        <v>9.695499942983795E-3</v>
      </c>
      <c r="AK30" s="217"/>
      <c r="AL30" s="217"/>
      <c r="AM30" s="217"/>
      <c r="AN30" s="217"/>
      <c r="AO30" s="217"/>
      <c r="AP30" s="217" t="str">
        <f t="shared" ca="1" si="69"/>
        <v>#16: GU(J): Geografisk-indeks</v>
      </c>
      <c r="AQ30" s="217"/>
      <c r="AR30" s="217"/>
      <c r="AS30" s="217">
        <f t="shared" ca="1" si="70"/>
        <v>1.0163574776246063</v>
      </c>
      <c r="AT30" s="217">
        <f t="shared" ca="1" si="71"/>
        <v>1.1145023433722445</v>
      </c>
      <c r="AU30" s="217">
        <f t="shared" ca="1" si="72"/>
        <v>1.049072432873819</v>
      </c>
      <c r="AV30" s="217"/>
      <c r="AW30" s="217"/>
      <c r="AX30" s="217"/>
      <c r="AY30" s="217"/>
      <c r="AZ30" s="227"/>
    </row>
    <row r="31" spans="1:61" ht="18.899999999999999" customHeight="1">
      <c r="A31" s="89">
        <v>15</v>
      </c>
      <c r="B31" s="89">
        <v>1</v>
      </c>
      <c r="C31" s="44" t="s">
        <v>172</v>
      </c>
      <c r="D31" s="260">
        <v>10</v>
      </c>
      <c r="E31" s="260">
        <v>45</v>
      </c>
      <c r="F31" s="260">
        <v>100</v>
      </c>
      <c r="H31" s="298">
        <f t="shared" si="50"/>
        <v>49</v>
      </c>
      <c r="I31" s="70">
        <f t="shared" si="51"/>
        <v>18</v>
      </c>
      <c r="J31" s="199">
        <v>1</v>
      </c>
      <c r="K31" s="70">
        <f t="shared" si="52"/>
        <v>324</v>
      </c>
      <c r="L31" s="87">
        <f t="shared" si="53"/>
        <v>8.7259499486854145E-2</v>
      </c>
      <c r="M31" s="69"/>
      <c r="N31" s="44" t="s">
        <v>200</v>
      </c>
      <c r="O31" s="347">
        <f t="shared" si="54"/>
        <v>0.44444444444444442</v>
      </c>
      <c r="Q31" s="215">
        <v>1</v>
      </c>
      <c r="R31" s="215">
        <f t="shared" ca="1" si="55"/>
        <v>17</v>
      </c>
      <c r="S31" s="215">
        <f t="shared" ca="1" si="56"/>
        <v>5</v>
      </c>
      <c r="T31" s="244">
        <f t="shared" ca="1" si="57"/>
        <v>8.7261199486854138E-2</v>
      </c>
      <c r="U31" s="215">
        <f t="shared" ca="1" si="58"/>
        <v>5</v>
      </c>
      <c r="V31" s="217">
        <f t="shared" si="59"/>
        <v>8.7259499486854145E-2</v>
      </c>
      <c r="W31" s="218">
        <f t="shared" si="60"/>
        <v>0.20408163265306123</v>
      </c>
      <c r="X31" s="218">
        <f t="shared" si="61"/>
        <v>0.91836734693877553</v>
      </c>
      <c r="Y31" s="218">
        <f t="shared" si="62"/>
        <v>2.0408163265306123</v>
      </c>
      <c r="Z31" s="219">
        <f t="shared" si="63"/>
        <v>1.0327149552492128</v>
      </c>
      <c r="AA31" s="220" t="str">
        <f t="shared" si="64"/>
        <v>Opg15: Aptering</v>
      </c>
      <c r="AB31" s="220"/>
      <c r="AC31" s="220"/>
      <c r="AD31" s="220">
        <f t="shared" si="65"/>
        <v>0.95637025025657296</v>
      </c>
      <c r="AE31" s="217">
        <v>1</v>
      </c>
      <c r="AF31" s="220">
        <f t="shared" si="66"/>
        <v>1.043629749743427</v>
      </c>
      <c r="AG31" s="218">
        <f t="shared" si="73"/>
        <v>8.7259499486854075E-2</v>
      </c>
      <c r="AH31" s="218">
        <f t="shared" si="74"/>
        <v>0</v>
      </c>
      <c r="AI31" s="220"/>
      <c r="AJ31" s="217">
        <f t="shared" ca="1" si="68"/>
        <v>6.7329860715165243E-3</v>
      </c>
      <c r="AK31" s="217"/>
      <c r="AL31" s="217"/>
      <c r="AM31" s="217"/>
      <c r="AN31" s="217"/>
      <c r="AO31" s="217"/>
      <c r="AP31" s="217" t="str">
        <f t="shared" ca="1" si="69"/>
        <v>#17: Opg31: Grundkøb</v>
      </c>
      <c r="AQ31" s="217"/>
      <c r="AR31" s="217"/>
      <c r="AS31" s="217">
        <f t="shared" ca="1" si="70"/>
        <v>0.55555555555555558</v>
      </c>
      <c r="AT31" s="217">
        <f t="shared" ca="1" si="71"/>
        <v>1.9444444444444444</v>
      </c>
      <c r="AU31" s="217">
        <f t="shared" ca="1" si="72"/>
        <v>0.83333333333333337</v>
      </c>
      <c r="AV31" s="217"/>
      <c r="AW31" s="217"/>
      <c r="AX31" s="217"/>
      <c r="AY31" s="217"/>
      <c r="AZ31" s="227"/>
    </row>
    <row r="32" spans="1:61" ht="15" customHeight="1">
      <c r="A32" s="89">
        <v>16</v>
      </c>
      <c r="B32" s="89">
        <v>1</v>
      </c>
      <c r="C32" s="44" t="s">
        <v>173</v>
      </c>
      <c r="D32" s="260">
        <v>20</v>
      </c>
      <c r="E32" s="260">
        <v>35</v>
      </c>
      <c r="F32" s="260">
        <v>75</v>
      </c>
      <c r="H32" s="298">
        <f t="shared" si="50"/>
        <v>40</v>
      </c>
      <c r="I32" s="70">
        <f t="shared" si="51"/>
        <v>11</v>
      </c>
      <c r="J32" s="199">
        <v>1</v>
      </c>
      <c r="K32" s="70">
        <f t="shared" si="52"/>
        <v>121</v>
      </c>
      <c r="L32" s="87">
        <f t="shared" si="53"/>
        <v>3.2587652586139979E-2</v>
      </c>
      <c r="M32" s="69"/>
      <c r="N32" s="44"/>
      <c r="O32" s="347">
        <f t="shared" si="54"/>
        <v>0.7142857142857143</v>
      </c>
      <c r="Q32" s="215">
        <v>2</v>
      </c>
      <c r="R32" s="215">
        <f t="shared" ca="1" si="55"/>
        <v>19</v>
      </c>
      <c r="S32" s="215">
        <f t="shared" ca="1" si="56"/>
        <v>7</v>
      </c>
      <c r="T32" s="244">
        <f t="shared" ca="1" si="57"/>
        <v>3.2589552586139978E-2</v>
      </c>
      <c r="U32" s="215">
        <f t="shared" ca="1" si="58"/>
        <v>10</v>
      </c>
      <c r="V32" s="217">
        <f t="shared" ref="V32" si="75">+L32</f>
        <v>3.2587652586139979E-2</v>
      </c>
      <c r="W32" s="218">
        <f t="shared" si="60"/>
        <v>0.5</v>
      </c>
      <c r="X32" s="218">
        <f t="shared" si="61"/>
        <v>0.875</v>
      </c>
      <c r="Y32" s="218">
        <f t="shared" si="62"/>
        <v>1.875</v>
      </c>
      <c r="Z32" s="219">
        <f t="shared" si="63"/>
        <v>1.0327149552492128</v>
      </c>
      <c r="AA32" s="220" t="str">
        <f t="shared" si="64"/>
        <v>Opg16: Installationer</v>
      </c>
      <c r="AB32" s="220"/>
      <c r="AC32" s="220"/>
      <c r="AD32" s="220">
        <f t="shared" si="65"/>
        <v>0.98370617370693003</v>
      </c>
      <c r="AE32" s="217">
        <v>1</v>
      </c>
      <c r="AF32" s="220">
        <f t="shared" si="66"/>
        <v>1.0162938262930701</v>
      </c>
      <c r="AG32" s="218">
        <f t="shared" ref="AG32:AG39" si="76">+AF32-AD32</f>
        <v>3.2587652586140048E-2</v>
      </c>
      <c r="AH32" s="218">
        <f t="shared" ref="AH32:AH39" si="77">+AG32-L32</f>
        <v>6.9388939039072284E-17</v>
      </c>
      <c r="AI32" s="220"/>
      <c r="AJ32" s="217">
        <f t="shared" ca="1" si="68"/>
        <v>6.7329860715165243E-3</v>
      </c>
      <c r="AK32" s="217"/>
      <c r="AL32" s="217"/>
      <c r="AM32" s="217"/>
      <c r="AN32" s="217"/>
      <c r="AO32" s="217"/>
      <c r="AP32" s="217" t="str">
        <f t="shared" ca="1" si="69"/>
        <v>#19: GU(E): Projekt Org.</v>
      </c>
      <c r="AQ32" s="217"/>
      <c r="AR32" s="217"/>
      <c r="AS32" s="217">
        <f t="shared" ca="1" si="70"/>
        <v>1</v>
      </c>
      <c r="AT32" s="217">
        <f t="shared" ca="1" si="71"/>
        <v>1</v>
      </c>
      <c r="AU32" s="217">
        <f t="shared" ca="1" si="72"/>
        <v>1</v>
      </c>
      <c r="AV32" s="217"/>
      <c r="AW32" s="217"/>
      <c r="AX32" s="217"/>
      <c r="AY32" s="217"/>
      <c r="AZ32" s="227"/>
    </row>
    <row r="33" spans="1:52" ht="15" customHeight="1">
      <c r="A33" s="89">
        <v>17</v>
      </c>
      <c r="B33" s="89">
        <v>1</v>
      </c>
      <c r="C33" s="44" t="s">
        <v>187</v>
      </c>
      <c r="D33" s="260">
        <v>8</v>
      </c>
      <c r="E33" s="260">
        <v>12</v>
      </c>
      <c r="F33" s="260">
        <v>15</v>
      </c>
      <c r="H33" s="298">
        <f t="shared" si="50"/>
        <v>11.8</v>
      </c>
      <c r="I33" s="70">
        <f t="shared" si="51"/>
        <v>1.4</v>
      </c>
      <c r="J33" s="199">
        <v>1</v>
      </c>
      <c r="K33" s="70">
        <f t="shared" si="52"/>
        <v>1.9599999999999997</v>
      </c>
      <c r="L33" s="87">
        <f t="shared" ref="L33:L39" si="78">+(IF(GrandTotal_Priority&lt;&gt;0,K33/GrandTotal_Priority,"0"))</f>
        <v>5.2786610800689541E-4</v>
      </c>
      <c r="M33" s="69"/>
      <c r="N33" s="44"/>
      <c r="O33" s="347">
        <f t="shared" si="54"/>
        <v>-8.3333333333333329E-2</v>
      </c>
      <c r="Q33" s="215">
        <v>1</v>
      </c>
      <c r="R33" s="215">
        <f t="shared" ca="1" si="55"/>
        <v>20</v>
      </c>
      <c r="S33" s="215">
        <f t="shared" ca="1" si="56"/>
        <v>8</v>
      </c>
      <c r="T33" s="244">
        <f t="shared" ca="1" si="57"/>
        <v>5.2986610800689546E-4</v>
      </c>
      <c r="U33" s="215">
        <f t="shared" ca="1" si="58"/>
        <v>24</v>
      </c>
      <c r="V33" s="217">
        <f t="shared" si="59"/>
        <v>5.2786610800689541E-4</v>
      </c>
      <c r="W33" s="218">
        <f t="shared" si="60"/>
        <v>0.67796610169491522</v>
      </c>
      <c r="X33" s="218">
        <f t="shared" si="61"/>
        <v>1.0169491525423728</v>
      </c>
      <c r="Y33" s="218">
        <f t="shared" si="62"/>
        <v>1.271186440677966</v>
      </c>
      <c r="Z33" s="219">
        <f t="shared" si="63"/>
        <v>1.0327149552492128</v>
      </c>
      <c r="AA33" s="220" t="str">
        <f t="shared" si="64"/>
        <v>Opg17: Landskab</v>
      </c>
      <c r="AB33" s="220"/>
      <c r="AC33" s="220"/>
      <c r="AD33" s="220">
        <f t="shared" si="65"/>
        <v>0.99973606694599659</v>
      </c>
      <c r="AE33" s="217">
        <v>1</v>
      </c>
      <c r="AF33" s="220">
        <f t="shared" si="66"/>
        <v>1.0002639330540035</v>
      </c>
      <c r="AG33" s="218">
        <f t="shared" si="76"/>
        <v>5.2786610800692468E-4</v>
      </c>
      <c r="AH33" s="218">
        <f t="shared" si="77"/>
        <v>2.927345865710862E-17</v>
      </c>
      <c r="AI33" s="220"/>
      <c r="AJ33" s="217">
        <f t="shared" ca="1" si="68"/>
        <v>5.453718717928384E-3</v>
      </c>
      <c r="AK33" s="217"/>
      <c r="AL33" s="217"/>
      <c r="AM33" s="217"/>
      <c r="AN33" s="217"/>
      <c r="AO33" s="217"/>
      <c r="AP33" s="217" t="str">
        <f t="shared" ca="1" si="69"/>
        <v>#20: GU(D): Bygherrens org.</v>
      </c>
      <c r="AQ33" s="217"/>
      <c r="AR33" s="217"/>
      <c r="AS33" s="217">
        <f t="shared" ca="1" si="70"/>
        <v>0.98364252237539362</v>
      </c>
      <c r="AT33" s="217">
        <f t="shared" ca="1" si="71"/>
        <v>1.0572511716861221</v>
      </c>
      <c r="AU33" s="217">
        <f t="shared" ca="1" si="72"/>
        <v>1.0327149552492128</v>
      </c>
      <c r="AV33" s="217"/>
      <c r="AW33" s="217"/>
      <c r="AX33" s="217"/>
      <c r="AY33" s="217"/>
      <c r="AZ33" s="227"/>
    </row>
    <row r="34" spans="1:52" ht="15.45">
      <c r="A34" s="89">
        <v>21</v>
      </c>
      <c r="B34" s="89">
        <v>1</v>
      </c>
      <c r="C34" s="44" t="s">
        <v>174</v>
      </c>
      <c r="D34" s="361">
        <f>+E34*80%</f>
        <v>10.520000000000001</v>
      </c>
      <c r="E34" s="361">
        <f>5%*SUM(H$27:H$33)</f>
        <v>13.15</v>
      </c>
      <c r="F34" s="361">
        <f>+E34*125%</f>
        <v>16.4375</v>
      </c>
      <c r="G34" s="352">
        <f>+SUM(H34:H37)/Mean_Tasks</f>
        <v>5.9209127455901962E-2</v>
      </c>
      <c r="H34" s="298">
        <f t="shared" si="50"/>
        <v>13.281499999999999</v>
      </c>
      <c r="I34" s="70">
        <f t="shared" si="51"/>
        <v>1.1834999999999998</v>
      </c>
      <c r="J34" s="199">
        <v>1</v>
      </c>
      <c r="K34" s="70">
        <f t="shared" si="52"/>
        <v>1.4006722499999995</v>
      </c>
      <c r="L34" s="87">
        <f t="shared" si="78"/>
        <v>3.7722827000038827E-4</v>
      </c>
      <c r="M34" s="69"/>
      <c r="N34" s="44" t="s">
        <v>203</v>
      </c>
      <c r="O34" s="347">
        <f t="shared" si="54"/>
        <v>5.0000000000000044E-2</v>
      </c>
      <c r="Q34" s="215">
        <v>1</v>
      </c>
      <c r="R34" s="215">
        <f t="shared" ca="1" si="55"/>
        <v>21</v>
      </c>
      <c r="S34" s="215">
        <f t="shared" ca="1" si="56"/>
        <v>9</v>
      </c>
      <c r="T34" s="244">
        <f t="shared" ca="1" si="57"/>
        <v>3.7932827000038827E-4</v>
      </c>
      <c r="U34" s="215">
        <f t="shared" ca="1" si="58"/>
        <v>26</v>
      </c>
      <c r="V34" s="217">
        <f t="shared" si="59"/>
        <v>3.7722827000038827E-4</v>
      </c>
      <c r="W34" s="218">
        <f t="shared" si="60"/>
        <v>0.79207920792079223</v>
      </c>
      <c r="X34" s="218">
        <f t="shared" si="61"/>
        <v>0.9900990099009902</v>
      </c>
      <c r="Y34" s="218">
        <f t="shared" si="62"/>
        <v>1.2376237623762376</v>
      </c>
      <c r="Z34" s="219">
        <f t="shared" si="63"/>
        <v>1.0327149552492128</v>
      </c>
      <c r="AA34" s="220" t="str">
        <f t="shared" si="64"/>
        <v>Opg21: Projektering</v>
      </c>
      <c r="AB34" s="220"/>
      <c r="AC34" s="220"/>
      <c r="AD34" s="220">
        <f t="shared" si="65"/>
        <v>0.99981138586499985</v>
      </c>
      <c r="AE34" s="217">
        <v>1</v>
      </c>
      <c r="AF34" s="220">
        <f t="shared" si="66"/>
        <v>1.0001886141350003</v>
      </c>
      <c r="AG34" s="218">
        <f t="shared" si="76"/>
        <v>3.7722827000041814E-4</v>
      </c>
      <c r="AH34" s="218">
        <f t="shared" si="77"/>
        <v>2.9869769851975647E-17</v>
      </c>
      <c r="AI34" s="220"/>
      <c r="AJ34" s="217">
        <f t="shared" ca="1" si="68"/>
        <v>8.7259499486854158E-4</v>
      </c>
      <c r="AK34" s="217"/>
      <c r="AL34" s="217"/>
      <c r="AM34" s="217"/>
      <c r="AN34" s="217"/>
      <c r="AO34" s="217"/>
      <c r="AP34" s="217" t="str">
        <f t="shared" ca="1" si="69"/>
        <v>#21: Opg14: Lukning</v>
      </c>
      <c r="AQ34" s="217"/>
      <c r="AR34" s="217"/>
      <c r="AS34" s="217">
        <f t="shared" ca="1" si="70"/>
        <v>0.58823529411764708</v>
      </c>
      <c r="AT34" s="217">
        <f t="shared" ca="1" si="71"/>
        <v>1.4705882352941178</v>
      </c>
      <c r="AU34" s="217">
        <f t="shared" ca="1" si="72"/>
        <v>0.98039215686274517</v>
      </c>
      <c r="AV34" s="217"/>
      <c r="AW34" s="217"/>
      <c r="AX34" s="217"/>
      <c r="AY34" s="217"/>
      <c r="AZ34" s="227"/>
    </row>
    <row r="35" spans="1:52" ht="15.45">
      <c r="A35" s="89">
        <v>22</v>
      </c>
      <c r="B35" s="89">
        <v>1</v>
      </c>
      <c r="C35" s="44" t="s">
        <v>175</v>
      </c>
      <c r="D35" s="361">
        <f>+E35*60%</f>
        <v>3.9449999999999998</v>
      </c>
      <c r="E35" s="361">
        <f>2.5%*SUM(H$27:H$33)</f>
        <v>6.5750000000000002</v>
      </c>
      <c r="F35" s="361">
        <f>+E35*150%</f>
        <v>9.8625000000000007</v>
      </c>
      <c r="H35" s="298">
        <f t="shared" si="50"/>
        <v>6.7065000000000001</v>
      </c>
      <c r="I35" s="70">
        <f t="shared" si="51"/>
        <v>1.1835</v>
      </c>
      <c r="J35" s="199">
        <v>1</v>
      </c>
      <c r="K35" s="70">
        <f t="shared" si="52"/>
        <v>1.40067225</v>
      </c>
      <c r="L35" s="87">
        <f t="shared" si="78"/>
        <v>3.7722827000038844E-4</v>
      </c>
      <c r="M35" s="69"/>
      <c r="N35" s="44" t="s">
        <v>203</v>
      </c>
      <c r="O35" s="347">
        <f t="shared" si="54"/>
        <v>0.10000000000000003</v>
      </c>
      <c r="Q35" s="215">
        <v>1</v>
      </c>
      <c r="R35" s="215">
        <f t="shared" ca="1" si="55"/>
        <v>22</v>
      </c>
      <c r="S35" s="215">
        <f t="shared" ca="1" si="56"/>
        <v>10</v>
      </c>
      <c r="T35" s="244">
        <f t="shared" ca="1" si="57"/>
        <v>3.7942827000038843E-4</v>
      </c>
      <c r="U35" s="215">
        <f t="shared" ca="1" si="58"/>
        <v>25</v>
      </c>
      <c r="V35" s="217">
        <f t="shared" si="59"/>
        <v>3.7722827000038844E-4</v>
      </c>
      <c r="W35" s="218">
        <f t="shared" si="60"/>
        <v>0.58823529411764708</v>
      </c>
      <c r="X35" s="218">
        <f t="shared" si="61"/>
        <v>0.98039215686274506</v>
      </c>
      <c r="Y35" s="218">
        <f t="shared" si="62"/>
        <v>1.4705882352941178</v>
      </c>
      <c r="Z35" s="219">
        <f t="shared" si="63"/>
        <v>1.0327149552492128</v>
      </c>
      <c r="AA35" s="220" t="str">
        <f t="shared" si="64"/>
        <v>Opg22: Rådgivning</v>
      </c>
      <c r="AB35" s="220"/>
      <c r="AC35" s="220"/>
      <c r="AD35" s="220">
        <f t="shared" si="65"/>
        <v>0.99981138586499985</v>
      </c>
      <c r="AE35" s="217">
        <v>1</v>
      </c>
      <c r="AF35" s="220">
        <f t="shared" si="66"/>
        <v>1.0001886141350003</v>
      </c>
      <c r="AG35" s="218">
        <f t="shared" si="76"/>
        <v>3.7722827000041814E-4</v>
      </c>
      <c r="AH35" s="218">
        <f t="shared" si="77"/>
        <v>2.9707139526102821E-17</v>
      </c>
      <c r="AI35" s="220"/>
      <c r="AJ35" s="217">
        <f t="shared" ca="1" si="68"/>
        <v>5.4752228791939595E-4</v>
      </c>
      <c r="AK35" s="217"/>
      <c r="AL35" s="217"/>
      <c r="AM35" s="217"/>
      <c r="AN35" s="217"/>
      <c r="AO35" s="217"/>
      <c r="AP35" s="217" t="str">
        <f t="shared" ca="1" si="69"/>
        <v>#22: Opg38: Finansiering</v>
      </c>
      <c r="AQ35" s="217"/>
      <c r="AR35" s="217"/>
      <c r="AS35" s="217">
        <f t="shared" ca="1" si="70"/>
        <v>0.58823529411764697</v>
      </c>
      <c r="AT35" s="217">
        <f t="shared" ca="1" si="71"/>
        <v>1.4705882352941175</v>
      </c>
      <c r="AU35" s="217">
        <f t="shared" ca="1" si="72"/>
        <v>0.98039215686274495</v>
      </c>
      <c r="AV35" s="217"/>
      <c r="AW35" s="217"/>
      <c r="AX35" s="217"/>
      <c r="AY35" s="217"/>
      <c r="AZ35" s="227"/>
    </row>
    <row r="36" spans="1:52" ht="15.45">
      <c r="A36" s="89">
        <v>23</v>
      </c>
      <c r="B36" s="89">
        <v>1</v>
      </c>
      <c r="C36" s="44" t="s">
        <v>176</v>
      </c>
      <c r="D36" s="361">
        <f>+E36*60%</f>
        <v>0.78899999999999992</v>
      </c>
      <c r="E36" s="361">
        <f>0.5%*SUM(H$27:H$33)</f>
        <v>1.3149999999999999</v>
      </c>
      <c r="F36" s="361">
        <f>+E36*150%</f>
        <v>1.9724999999999999</v>
      </c>
      <c r="H36" s="298">
        <f t="shared" si="50"/>
        <v>1.3412999999999999</v>
      </c>
      <c r="I36" s="70">
        <f t="shared" si="51"/>
        <v>0.23669999999999999</v>
      </c>
      <c r="J36" s="199">
        <v>1</v>
      </c>
      <c r="K36" s="70">
        <f t="shared" si="52"/>
        <v>5.6026889999999996E-2</v>
      </c>
      <c r="L36" s="87">
        <f t="shared" si="78"/>
        <v>1.5089130800015535E-5</v>
      </c>
      <c r="M36" s="69"/>
      <c r="N36" s="44" t="s">
        <v>203</v>
      </c>
      <c r="O36" s="347">
        <f t="shared" si="54"/>
        <v>9.9999999999999964E-2</v>
      </c>
      <c r="Q36" s="215">
        <v>1</v>
      </c>
      <c r="R36" s="215">
        <f t="shared" ca="1" si="55"/>
        <v>23</v>
      </c>
      <c r="S36" s="215">
        <f t="shared" ca="1" si="56"/>
        <v>11</v>
      </c>
      <c r="T36" s="244">
        <f t="shared" ca="1" si="57"/>
        <v>1.7389130800015535E-5</v>
      </c>
      <c r="U36" s="215">
        <f t="shared" ca="1" si="58"/>
        <v>31</v>
      </c>
      <c r="V36" s="217">
        <f t="shared" si="59"/>
        <v>1.5089130800015535E-5</v>
      </c>
      <c r="W36" s="218">
        <f t="shared" si="60"/>
        <v>0.58823529411764708</v>
      </c>
      <c r="X36" s="218">
        <f t="shared" si="61"/>
        <v>0.98039215686274506</v>
      </c>
      <c r="Y36" s="218">
        <f t="shared" si="62"/>
        <v>1.4705882352941178</v>
      </c>
      <c r="Z36" s="219">
        <f t="shared" si="63"/>
        <v>1.0327149552492128</v>
      </c>
      <c r="AA36" s="220" t="str">
        <f t="shared" si="64"/>
        <v>Opg23: Byggeledelse</v>
      </c>
      <c r="AB36" s="220"/>
      <c r="AC36" s="220"/>
      <c r="AD36" s="220">
        <f t="shared" si="65"/>
        <v>0.99999245543460002</v>
      </c>
      <c r="AE36" s="217">
        <v>1</v>
      </c>
      <c r="AF36" s="220">
        <f t="shared" si="66"/>
        <v>1.0000075445654</v>
      </c>
      <c r="AG36" s="218">
        <f t="shared" si="76"/>
        <v>1.5089130799950112E-5</v>
      </c>
      <c r="AH36" s="218">
        <f t="shared" si="77"/>
        <v>-6.542313078002765E-17</v>
      </c>
      <c r="AI36" s="220"/>
      <c r="AJ36" s="217">
        <f t="shared" ca="1" si="68"/>
        <v>5.2786610800689541E-4</v>
      </c>
      <c r="AK36" s="217"/>
      <c r="AL36" s="217"/>
      <c r="AM36" s="217"/>
      <c r="AN36" s="217"/>
      <c r="AO36" s="217"/>
      <c r="AP36" s="217" t="str">
        <f t="shared" ca="1" si="69"/>
        <v>#23: Opg33: Interne veje</v>
      </c>
      <c r="AQ36" s="217"/>
      <c r="AR36" s="217"/>
      <c r="AS36" s="217">
        <f t="shared" ca="1" si="70"/>
        <v>0.20833333333333334</v>
      </c>
      <c r="AT36" s="217">
        <f t="shared" ca="1" si="71"/>
        <v>1.6666666666666667</v>
      </c>
      <c r="AU36" s="217">
        <f t="shared" ca="1" si="72"/>
        <v>1.0416666666666667</v>
      </c>
      <c r="AV36" s="217"/>
      <c r="AW36" s="217"/>
      <c r="AX36" s="217"/>
      <c r="AY36" s="217"/>
      <c r="AZ36" s="227"/>
    </row>
    <row r="37" spans="1:52" ht="15.45">
      <c r="A37" s="89">
        <v>24</v>
      </c>
      <c r="B37" s="89">
        <v>1</v>
      </c>
      <c r="C37" s="44" t="s">
        <v>177</v>
      </c>
      <c r="D37" s="361">
        <f>+E37*60%</f>
        <v>0.78899999999999992</v>
      </c>
      <c r="E37" s="361">
        <f>0.5%*SUM(H$27:H$33)</f>
        <v>1.3149999999999999</v>
      </c>
      <c r="F37" s="361">
        <f>+E37*150%</f>
        <v>1.9724999999999999</v>
      </c>
      <c r="H37" s="298">
        <f t="shared" si="50"/>
        <v>1.3412999999999999</v>
      </c>
      <c r="I37" s="70">
        <f t="shared" si="51"/>
        <v>0.23669999999999999</v>
      </c>
      <c r="J37" s="199">
        <v>1</v>
      </c>
      <c r="K37" s="70">
        <f t="shared" si="52"/>
        <v>5.6026889999999996E-2</v>
      </c>
      <c r="L37" s="87">
        <f t="shared" si="78"/>
        <v>1.5089130800015535E-5</v>
      </c>
      <c r="M37" s="69"/>
      <c r="N37" s="44" t="s">
        <v>203</v>
      </c>
      <c r="O37" s="347">
        <f t="shared" si="54"/>
        <v>9.9999999999999964E-2</v>
      </c>
      <c r="Q37" s="215">
        <v>1</v>
      </c>
      <c r="R37" s="215">
        <f t="shared" ca="1" si="55"/>
        <v>24</v>
      </c>
      <c r="S37" s="215">
        <f t="shared" ca="1" si="56"/>
        <v>12</v>
      </c>
      <c r="T37" s="244">
        <f t="shared" ca="1" si="57"/>
        <v>1.7489130800015534E-5</v>
      </c>
      <c r="U37" s="215">
        <f t="shared" ca="1" si="58"/>
        <v>30</v>
      </c>
      <c r="V37" s="217">
        <f t="shared" si="59"/>
        <v>1.5089130800015535E-5</v>
      </c>
      <c r="W37" s="218">
        <f t="shared" si="60"/>
        <v>0.58823529411764708</v>
      </c>
      <c r="X37" s="218">
        <f t="shared" si="61"/>
        <v>0.98039215686274506</v>
      </c>
      <c r="Y37" s="218">
        <f t="shared" si="62"/>
        <v>1.4705882352941178</v>
      </c>
      <c r="Z37" s="219">
        <f t="shared" si="63"/>
        <v>1.0327149552492128</v>
      </c>
      <c r="AA37" s="220" t="str">
        <f t="shared" si="64"/>
        <v>Opg24: Tilsyn</v>
      </c>
      <c r="AB37" s="220"/>
      <c r="AC37" s="220"/>
      <c r="AD37" s="220">
        <f t="shared" si="65"/>
        <v>0.99999245543460002</v>
      </c>
      <c r="AE37" s="217">
        <v>1</v>
      </c>
      <c r="AF37" s="220">
        <f t="shared" si="66"/>
        <v>1.0000075445654</v>
      </c>
      <c r="AG37" s="218">
        <f t="shared" si="76"/>
        <v>1.5089130799950112E-5</v>
      </c>
      <c r="AH37" s="218">
        <f t="shared" si="77"/>
        <v>-6.542313078002765E-17</v>
      </c>
      <c r="AI37" s="220"/>
      <c r="AJ37" s="217">
        <f t="shared" ca="1" si="68"/>
        <v>5.2786610800689541E-4</v>
      </c>
      <c r="AK37" s="217"/>
      <c r="AL37" s="217"/>
      <c r="AM37" s="217"/>
      <c r="AN37" s="217"/>
      <c r="AO37" s="217"/>
      <c r="AP37" s="217" t="str">
        <f t="shared" ca="1" si="69"/>
        <v>#24: Opg17: Landskab</v>
      </c>
      <c r="AQ37" s="217"/>
      <c r="AR37" s="217"/>
      <c r="AS37" s="217">
        <f t="shared" ca="1" si="70"/>
        <v>0.67796610169491522</v>
      </c>
      <c r="AT37" s="217">
        <f t="shared" ca="1" si="71"/>
        <v>1.271186440677966</v>
      </c>
      <c r="AU37" s="217">
        <f t="shared" ca="1" si="72"/>
        <v>1.0169491525423728</v>
      </c>
      <c r="AV37" s="217"/>
      <c r="AW37" s="217"/>
      <c r="AX37" s="217"/>
      <c r="AY37" s="217"/>
      <c r="AZ37" s="227"/>
    </row>
    <row r="38" spans="1:52" ht="15.45">
      <c r="A38" s="89">
        <v>31</v>
      </c>
      <c r="B38" s="89">
        <v>1</v>
      </c>
      <c r="C38" s="44" t="s">
        <v>179</v>
      </c>
      <c r="D38" s="260">
        <v>10</v>
      </c>
      <c r="E38" s="260">
        <v>15</v>
      </c>
      <c r="F38" s="260">
        <v>35</v>
      </c>
      <c r="G38" s="352">
        <f>+SUM(H38:H45)/Mean_Tasks</f>
        <v>0.10253508980141408</v>
      </c>
      <c r="H38" s="298">
        <f t="shared" si="50"/>
        <v>18</v>
      </c>
      <c r="I38" s="70">
        <f t="shared" si="51"/>
        <v>5</v>
      </c>
      <c r="J38" s="199">
        <v>1</v>
      </c>
      <c r="K38" s="70">
        <f t="shared" si="52"/>
        <v>25</v>
      </c>
      <c r="L38" s="87">
        <f t="shared" si="78"/>
        <v>6.7329860715165243E-3</v>
      </c>
      <c r="M38" s="69"/>
      <c r="N38" s="44"/>
      <c r="O38" s="347">
        <f t="shared" si="54"/>
        <v>1</v>
      </c>
      <c r="Q38" s="215">
        <v>1</v>
      </c>
      <c r="R38" s="215">
        <f t="shared" ca="1" si="55"/>
        <v>25</v>
      </c>
      <c r="S38" s="215">
        <f t="shared" ca="1" si="56"/>
        <v>13</v>
      </c>
      <c r="T38" s="244">
        <f t="shared" ca="1" si="57"/>
        <v>6.7354860715165242E-3</v>
      </c>
      <c r="U38" s="215">
        <f t="shared" ca="1" si="58"/>
        <v>17</v>
      </c>
      <c r="V38" s="217">
        <f t="shared" si="59"/>
        <v>6.7329860715165243E-3</v>
      </c>
      <c r="W38" s="218">
        <f t="shared" si="60"/>
        <v>0.55555555555555558</v>
      </c>
      <c r="X38" s="218">
        <f t="shared" si="61"/>
        <v>0.83333333333333337</v>
      </c>
      <c r="Y38" s="218">
        <f t="shared" si="62"/>
        <v>1.9444444444444444</v>
      </c>
      <c r="Z38" s="219">
        <f t="shared" si="63"/>
        <v>1.0327149552492128</v>
      </c>
      <c r="AA38" s="220" t="str">
        <f t="shared" si="64"/>
        <v>Opg31: Grundkøb</v>
      </c>
      <c r="AB38" s="220"/>
      <c r="AC38" s="220"/>
      <c r="AD38" s="220">
        <f t="shared" si="65"/>
        <v>0.99663350696424169</v>
      </c>
      <c r="AE38" s="217">
        <v>1</v>
      </c>
      <c r="AF38" s="220">
        <f t="shared" si="66"/>
        <v>1.0033664930357582</v>
      </c>
      <c r="AG38" s="218">
        <f t="shared" si="76"/>
        <v>6.7329860715165113E-3</v>
      </c>
      <c r="AH38" s="218">
        <f t="shared" si="77"/>
        <v>-1.3010426069826053E-17</v>
      </c>
      <c r="AI38" s="220"/>
      <c r="AJ38" s="217">
        <f t="shared" ca="1" si="68"/>
        <v>3.7722827000038844E-4</v>
      </c>
      <c r="AK38" s="217"/>
      <c r="AL38" s="217"/>
      <c r="AM38" s="217"/>
      <c r="AN38" s="217"/>
      <c r="AO38" s="217"/>
      <c r="AP38" s="217" t="str">
        <f t="shared" ca="1" si="69"/>
        <v>#25: Opg22: Rådgivning</v>
      </c>
      <c r="AQ38" s="217"/>
      <c r="AR38" s="217"/>
      <c r="AS38" s="217">
        <f t="shared" ca="1" si="70"/>
        <v>0.58823529411764708</v>
      </c>
      <c r="AT38" s="217">
        <f t="shared" ca="1" si="71"/>
        <v>1.4705882352941178</v>
      </c>
      <c r="AU38" s="217">
        <f t="shared" ca="1" si="72"/>
        <v>0.98039215686274506</v>
      </c>
      <c r="AV38" s="217"/>
      <c r="AW38" s="217"/>
      <c r="AX38" s="217"/>
      <c r="AY38" s="217"/>
      <c r="AZ38" s="227"/>
    </row>
    <row r="39" spans="1:52" ht="15.45">
      <c r="A39" s="89">
        <v>32</v>
      </c>
      <c r="B39" s="89">
        <v>1</v>
      </c>
      <c r="C39" s="44" t="s">
        <v>180</v>
      </c>
      <c r="D39" s="260">
        <v>1</v>
      </c>
      <c r="E39" s="260">
        <v>2</v>
      </c>
      <c r="F39" s="260">
        <v>3</v>
      </c>
      <c r="H39" s="298">
        <f t="shared" si="50"/>
        <v>2</v>
      </c>
      <c r="I39" s="70">
        <f t="shared" si="51"/>
        <v>0.4</v>
      </c>
      <c r="J39" s="199">
        <v>1</v>
      </c>
      <c r="K39" s="70">
        <f t="shared" si="52"/>
        <v>0.16000000000000003</v>
      </c>
      <c r="L39" s="87">
        <f t="shared" si="78"/>
        <v>4.3091110857705764E-5</v>
      </c>
      <c r="M39" s="69"/>
      <c r="N39" s="44"/>
      <c r="O39" s="347">
        <f t="shared" si="54"/>
        <v>0</v>
      </c>
      <c r="Q39" s="215">
        <v>1</v>
      </c>
      <c r="R39" s="215">
        <f t="shared" ca="1" si="55"/>
        <v>26</v>
      </c>
      <c r="S39" s="215">
        <f t="shared" ca="1" si="56"/>
        <v>14</v>
      </c>
      <c r="T39" s="244">
        <f t="shared" ca="1" si="57"/>
        <v>4.5691110857705767E-5</v>
      </c>
      <c r="U39" s="215">
        <f t="shared" ca="1" si="58"/>
        <v>28</v>
      </c>
      <c r="V39" s="217">
        <f t="shared" si="59"/>
        <v>4.3091110857705764E-5</v>
      </c>
      <c r="W39" s="218">
        <f t="shared" si="60"/>
        <v>0.5</v>
      </c>
      <c r="X39" s="218">
        <f t="shared" si="61"/>
        <v>1</v>
      </c>
      <c r="Y39" s="218">
        <f t="shared" si="62"/>
        <v>1.5</v>
      </c>
      <c r="Z39" s="219">
        <f t="shared" si="63"/>
        <v>1.0327149552492128</v>
      </c>
      <c r="AA39" s="220" t="str">
        <f t="shared" si="64"/>
        <v>Opg32: Geoteknisk undersøg.</v>
      </c>
      <c r="AB39" s="220"/>
      <c r="AC39" s="220"/>
      <c r="AD39" s="220">
        <f t="shared" si="65"/>
        <v>0.99997845444457112</v>
      </c>
      <c r="AE39" s="217">
        <v>1</v>
      </c>
      <c r="AF39" s="220">
        <f t="shared" si="66"/>
        <v>1.0000215455554289</v>
      </c>
      <c r="AG39" s="218">
        <f t="shared" si="76"/>
        <v>4.3091110857762516E-5</v>
      </c>
      <c r="AH39" s="218">
        <f t="shared" si="77"/>
        <v>5.6751207466038123E-17</v>
      </c>
      <c r="AI39" s="220"/>
      <c r="AJ39" s="217">
        <f t="shared" ca="1" si="68"/>
        <v>3.7722827000038827E-4</v>
      </c>
      <c r="AK39" s="217"/>
      <c r="AL39" s="217"/>
      <c r="AM39" s="217"/>
      <c r="AN39" s="217"/>
      <c r="AO39" s="217"/>
      <c r="AP39" s="217" t="str">
        <f t="shared" ca="1" si="69"/>
        <v>#26: Opg21: Projektering</v>
      </c>
      <c r="AQ39" s="217"/>
      <c r="AR39" s="217"/>
      <c r="AS39" s="217">
        <f t="shared" ca="1" si="70"/>
        <v>0.79207920792079223</v>
      </c>
      <c r="AT39" s="217">
        <f t="shared" ca="1" si="71"/>
        <v>1.2376237623762376</v>
      </c>
      <c r="AU39" s="217">
        <f t="shared" ca="1" si="72"/>
        <v>0.9900990099009902</v>
      </c>
      <c r="AV39" s="217"/>
      <c r="AW39" s="217"/>
      <c r="AX39" s="217"/>
      <c r="AY39" s="217"/>
      <c r="AZ39" s="227"/>
    </row>
    <row r="40" spans="1:52" ht="15.45">
      <c r="A40" s="89">
        <v>33</v>
      </c>
      <c r="B40" s="89">
        <v>1</v>
      </c>
      <c r="C40" s="44" t="s">
        <v>181</v>
      </c>
      <c r="D40" s="260">
        <v>1</v>
      </c>
      <c r="E40" s="260">
        <v>5</v>
      </c>
      <c r="F40" s="260">
        <v>8</v>
      </c>
      <c r="H40" s="298">
        <f t="shared" ref="H40:H46" si="79">+$B40*(D40+FaktorA*E40+F40)/DivisorA</f>
        <v>4.8</v>
      </c>
      <c r="I40" s="70">
        <f t="shared" ref="I40:I46" si="80">+$B40*(F40-D40)/DivisorB</f>
        <v>1.4</v>
      </c>
      <c r="J40" s="199">
        <v>1</v>
      </c>
      <c r="K40" s="70">
        <f t="shared" ref="K40:K46" si="81">+I40*I40*J40</f>
        <v>1.9599999999999997</v>
      </c>
      <c r="L40" s="87">
        <f t="shared" ref="L40:L46" si="82">+(IF(GrandTotal_Priority&lt;&gt;0,K40/GrandTotal_Priority,"0"))</f>
        <v>5.2786610800689541E-4</v>
      </c>
      <c r="M40" s="69"/>
      <c r="N40" s="44"/>
      <c r="O40" s="347">
        <f t="shared" ref="O40:O46" si="83">+(IFERROR(((F40-E40)-(E40-D40))/E40,0))</f>
        <v>-0.2</v>
      </c>
      <c r="Q40" s="215">
        <v>1</v>
      </c>
      <c r="R40" s="215">
        <f t="shared" ca="1" si="55"/>
        <v>27</v>
      </c>
      <c r="S40" s="215">
        <f t="shared" ca="1" si="56"/>
        <v>15</v>
      </c>
      <c r="T40" s="244">
        <f t="shared" ref="T40:T46" ca="1" si="84">+L40+R40*deltaId</f>
        <v>5.3056610800689542E-4</v>
      </c>
      <c r="U40" s="215">
        <f t="shared" ca="1" si="58"/>
        <v>23</v>
      </c>
      <c r="V40" s="217">
        <f t="shared" ref="V40:V46" si="85">+L40</f>
        <v>5.2786610800689541E-4</v>
      </c>
      <c r="W40" s="218">
        <f t="shared" ref="W40:W46" si="86">+IFERROR(D40/$H40,0)</f>
        <v>0.20833333333333334</v>
      </c>
      <c r="X40" s="218">
        <f t="shared" ref="X40:X46" si="87">+IFERROR(E40/$H40,0)</f>
        <v>1.0416666666666667</v>
      </c>
      <c r="Y40" s="218">
        <f t="shared" ref="Y40:Y46" si="88">+IFERROR(F40/$H40,0)</f>
        <v>1.6666666666666667</v>
      </c>
      <c r="Z40" s="219">
        <f t="shared" si="63"/>
        <v>1.0327149552492128</v>
      </c>
      <c r="AA40" s="220" t="str">
        <f t="shared" ref="AA40:AA46" si="89">+CONCATENATE("Opg",A40,": ",$C40)</f>
        <v>Opg33: Interne veje</v>
      </c>
      <c r="AB40" s="220"/>
      <c r="AC40" s="220"/>
      <c r="AD40" s="220">
        <f t="shared" si="65"/>
        <v>0.99973606694599659</v>
      </c>
      <c r="AE40" s="217">
        <v>1</v>
      </c>
      <c r="AF40" s="220">
        <f t="shared" si="66"/>
        <v>1.0002639330540035</v>
      </c>
      <c r="AG40" s="218">
        <f t="shared" ref="AG40:AG46" si="90">+AF40-AD40</f>
        <v>5.2786610800692468E-4</v>
      </c>
      <c r="AH40" s="218">
        <f t="shared" ref="AH40:AH46" si="91">+AG40-L40</f>
        <v>2.927345865710862E-17</v>
      </c>
      <c r="AI40" s="220"/>
      <c r="AJ40" s="217">
        <f t="shared" ca="1" si="68"/>
        <v>9.6954999429837941E-5</v>
      </c>
      <c r="AK40" s="217"/>
      <c r="AL40" s="217"/>
      <c r="AM40" s="217"/>
      <c r="AN40" s="217"/>
      <c r="AO40" s="217"/>
      <c r="AP40" s="217" t="str">
        <f t="shared" ca="1" si="69"/>
        <v>#27: Opg34: Terrænregulering</v>
      </c>
      <c r="AQ40" s="217"/>
      <c r="AR40" s="217"/>
      <c r="AS40" s="217">
        <f t="shared" ca="1" si="70"/>
        <v>0.45454545454545453</v>
      </c>
      <c r="AT40" s="217">
        <f t="shared" ca="1" si="71"/>
        <v>1.8181818181818181</v>
      </c>
      <c r="AU40" s="217">
        <f t="shared" ca="1" si="72"/>
        <v>0.90909090909090906</v>
      </c>
      <c r="AV40" s="217"/>
      <c r="AW40" s="217"/>
      <c r="AX40" s="217"/>
      <c r="AY40" s="217"/>
      <c r="AZ40" s="227"/>
    </row>
    <row r="41" spans="1:52" ht="15.45">
      <c r="A41" s="89">
        <v>34</v>
      </c>
      <c r="B41" s="89">
        <v>1</v>
      </c>
      <c r="C41" s="44" t="s">
        <v>182</v>
      </c>
      <c r="D41" s="260">
        <v>1</v>
      </c>
      <c r="E41" s="260">
        <v>2</v>
      </c>
      <c r="F41" s="260">
        <v>4</v>
      </c>
      <c r="H41" s="298">
        <f t="shared" si="79"/>
        <v>2.2000000000000002</v>
      </c>
      <c r="I41" s="70">
        <f t="shared" si="80"/>
        <v>0.6</v>
      </c>
      <c r="J41" s="199">
        <v>1</v>
      </c>
      <c r="K41" s="70">
        <f t="shared" si="81"/>
        <v>0.36</v>
      </c>
      <c r="L41" s="87">
        <f t="shared" si="82"/>
        <v>9.6954999429837941E-5</v>
      </c>
      <c r="M41" s="69"/>
      <c r="N41" s="44"/>
      <c r="O41" s="347">
        <f t="shared" si="83"/>
        <v>0.5</v>
      </c>
      <c r="Q41" s="215">
        <v>1</v>
      </c>
      <c r="R41" s="215">
        <f t="shared" ca="1" si="55"/>
        <v>28</v>
      </c>
      <c r="S41" s="215">
        <f t="shared" ca="1" si="56"/>
        <v>16</v>
      </c>
      <c r="T41" s="244">
        <f t="shared" ca="1" si="84"/>
        <v>9.9754999429837942E-5</v>
      </c>
      <c r="U41" s="215">
        <f t="shared" ca="1" si="58"/>
        <v>27</v>
      </c>
      <c r="V41" s="217">
        <f t="shared" si="85"/>
        <v>9.6954999429837941E-5</v>
      </c>
      <c r="W41" s="218">
        <f t="shared" si="86"/>
        <v>0.45454545454545453</v>
      </c>
      <c r="X41" s="218">
        <f t="shared" si="87"/>
        <v>0.90909090909090906</v>
      </c>
      <c r="Y41" s="218">
        <f t="shared" si="88"/>
        <v>1.8181818181818181</v>
      </c>
      <c r="Z41" s="219">
        <f t="shared" si="63"/>
        <v>1.0327149552492128</v>
      </c>
      <c r="AA41" s="220" t="str">
        <f t="shared" si="89"/>
        <v>Opg34: Terrænregulering</v>
      </c>
      <c r="AB41" s="220"/>
      <c r="AC41" s="220"/>
      <c r="AD41" s="220">
        <f t="shared" si="65"/>
        <v>0.99995152250028507</v>
      </c>
      <c r="AE41" s="217">
        <v>1</v>
      </c>
      <c r="AF41" s="220">
        <f t="shared" si="66"/>
        <v>1.0000484774997149</v>
      </c>
      <c r="AG41" s="218">
        <f t="shared" si="90"/>
        <v>9.6954999429854638E-5</v>
      </c>
      <c r="AH41" s="218">
        <f t="shared" si="91"/>
        <v>1.6696713456276768E-17</v>
      </c>
      <c r="AI41" s="220"/>
      <c r="AJ41" s="217">
        <f t="shared" ca="1" si="68"/>
        <v>4.3091110857705764E-5</v>
      </c>
      <c r="AK41" s="217"/>
      <c r="AL41" s="217"/>
      <c r="AM41" s="217"/>
      <c r="AN41" s="217"/>
      <c r="AO41" s="217"/>
      <c r="AP41" s="217" t="str">
        <f t="shared" ca="1" si="69"/>
        <v>#28: Opg32: Geoteknisk undersøg.</v>
      </c>
      <c r="AQ41" s="217"/>
      <c r="AR41" s="217"/>
      <c r="AS41" s="217">
        <f t="shared" ca="1" si="70"/>
        <v>0.5</v>
      </c>
      <c r="AT41" s="217">
        <f t="shared" ca="1" si="71"/>
        <v>1.5</v>
      </c>
      <c r="AU41" s="217">
        <f t="shared" ca="1" si="72"/>
        <v>1</v>
      </c>
      <c r="AV41" s="217"/>
      <c r="AW41" s="217"/>
      <c r="AX41" s="217"/>
      <c r="AY41" s="217"/>
      <c r="AZ41" s="227"/>
    </row>
    <row r="42" spans="1:52" ht="15.45">
      <c r="A42" s="89">
        <v>35</v>
      </c>
      <c r="B42" s="89">
        <v>1</v>
      </c>
      <c r="C42" s="44" t="s">
        <v>183</v>
      </c>
      <c r="D42" s="260">
        <v>1.5</v>
      </c>
      <c r="E42" s="260">
        <v>2</v>
      </c>
      <c r="F42" s="260">
        <v>3</v>
      </c>
      <c r="H42" s="298">
        <f t="shared" si="79"/>
        <v>2.1</v>
      </c>
      <c r="I42" s="70">
        <f t="shared" si="80"/>
        <v>0.3</v>
      </c>
      <c r="J42" s="199">
        <v>1</v>
      </c>
      <c r="K42" s="70">
        <f t="shared" si="81"/>
        <v>0.09</v>
      </c>
      <c r="L42" s="87">
        <f t="shared" si="82"/>
        <v>2.4238749857459485E-5</v>
      </c>
      <c r="M42" s="69"/>
      <c r="N42" s="44"/>
      <c r="O42" s="347">
        <f t="shared" si="83"/>
        <v>0.25</v>
      </c>
      <c r="Q42" s="215">
        <v>1</v>
      </c>
      <c r="R42" s="215">
        <f t="shared" ca="1" si="55"/>
        <v>29</v>
      </c>
      <c r="S42" s="215">
        <f t="shared" ca="1" si="56"/>
        <v>17</v>
      </c>
      <c r="T42" s="244">
        <f t="shared" ca="1" si="84"/>
        <v>2.7138749857459485E-5</v>
      </c>
      <c r="U42" s="215">
        <f t="shared" ca="1" si="58"/>
        <v>29</v>
      </c>
      <c r="V42" s="217">
        <f t="shared" si="85"/>
        <v>2.4238749857459485E-5</v>
      </c>
      <c r="W42" s="218">
        <f t="shared" si="86"/>
        <v>0.7142857142857143</v>
      </c>
      <c r="X42" s="218">
        <f t="shared" si="87"/>
        <v>0.95238095238095233</v>
      </c>
      <c r="Y42" s="218">
        <f t="shared" si="88"/>
        <v>1.4285714285714286</v>
      </c>
      <c r="Z42" s="219">
        <f t="shared" si="63"/>
        <v>1.0327149552492128</v>
      </c>
      <c r="AA42" s="220" t="str">
        <f t="shared" si="89"/>
        <v>Opg35: Perimetersikring</v>
      </c>
      <c r="AB42" s="220"/>
      <c r="AC42" s="220"/>
      <c r="AD42" s="220">
        <f t="shared" si="65"/>
        <v>0.99998788062507127</v>
      </c>
      <c r="AE42" s="217">
        <v>1</v>
      </c>
      <c r="AF42" s="220">
        <f t="shared" si="66"/>
        <v>1.0000121193749287</v>
      </c>
      <c r="AG42" s="218">
        <f t="shared" si="90"/>
        <v>2.423874985746366E-5</v>
      </c>
      <c r="AH42" s="218">
        <f t="shared" si="91"/>
        <v>4.1741783640691921E-18</v>
      </c>
      <c r="AI42" s="220"/>
      <c r="AJ42" s="217">
        <f t="shared" ca="1" si="68"/>
        <v>2.4238749857459485E-5</v>
      </c>
      <c r="AK42" s="217"/>
      <c r="AL42" s="217"/>
      <c r="AM42" s="217"/>
      <c r="AN42" s="217"/>
      <c r="AO42" s="217"/>
      <c r="AP42" s="217" t="str">
        <f t="shared" ca="1" si="69"/>
        <v>#29: Opg35: Perimetersikring</v>
      </c>
      <c r="AQ42" s="217"/>
      <c r="AR42" s="217"/>
      <c r="AS42" s="217">
        <f t="shared" ca="1" si="70"/>
        <v>0.7142857142857143</v>
      </c>
      <c r="AT42" s="217">
        <f t="shared" ca="1" si="71"/>
        <v>1.4285714285714286</v>
      </c>
      <c r="AU42" s="217">
        <f t="shared" ca="1" si="72"/>
        <v>0.95238095238095233</v>
      </c>
      <c r="AV42" s="217"/>
      <c r="AW42" s="217"/>
      <c r="AX42" s="217"/>
      <c r="AY42" s="217"/>
      <c r="AZ42" s="227"/>
    </row>
    <row r="43" spans="1:52" ht="15.45">
      <c r="A43" s="89">
        <v>36</v>
      </c>
      <c r="B43" s="89">
        <v>1</v>
      </c>
      <c r="C43" s="44" t="s">
        <v>184</v>
      </c>
      <c r="D43" s="260">
        <v>0.9</v>
      </c>
      <c r="E43" s="260">
        <v>1</v>
      </c>
      <c r="F43" s="260">
        <v>1.5</v>
      </c>
      <c r="H43" s="298">
        <f t="shared" si="79"/>
        <v>1.08</v>
      </c>
      <c r="I43" s="70">
        <f t="shared" si="80"/>
        <v>0.12</v>
      </c>
      <c r="J43" s="199">
        <v>1</v>
      </c>
      <c r="K43" s="70">
        <f t="shared" si="81"/>
        <v>1.44E-2</v>
      </c>
      <c r="L43" s="87">
        <f t="shared" si="82"/>
        <v>3.878199977193518E-6</v>
      </c>
      <c r="M43" s="69"/>
      <c r="N43" s="44"/>
      <c r="O43" s="347">
        <f t="shared" si="83"/>
        <v>0.4</v>
      </c>
      <c r="Q43" s="215">
        <v>1</v>
      </c>
      <c r="R43" s="215">
        <f t="shared" ca="1" si="55"/>
        <v>30</v>
      </c>
      <c r="S43" s="215">
        <f t="shared" ca="1" si="56"/>
        <v>18</v>
      </c>
      <c r="T43" s="244">
        <f t="shared" ca="1" si="84"/>
        <v>6.8781999771935181E-6</v>
      </c>
      <c r="U43" s="215">
        <f t="shared" ca="1" si="58"/>
        <v>33</v>
      </c>
      <c r="V43" s="217">
        <f t="shared" si="85"/>
        <v>3.878199977193518E-6</v>
      </c>
      <c r="W43" s="218">
        <f t="shared" si="86"/>
        <v>0.83333333333333326</v>
      </c>
      <c r="X43" s="218">
        <f t="shared" si="87"/>
        <v>0.92592592592592582</v>
      </c>
      <c r="Y43" s="218">
        <f t="shared" si="88"/>
        <v>1.3888888888888888</v>
      </c>
      <c r="Z43" s="219">
        <f t="shared" si="63"/>
        <v>1.0327149552492128</v>
      </c>
      <c r="AA43" s="220" t="str">
        <f t="shared" si="89"/>
        <v>Opg36: Byggetilladelse</v>
      </c>
      <c r="AB43" s="220"/>
      <c r="AC43" s="220"/>
      <c r="AD43" s="220">
        <f t="shared" si="65"/>
        <v>0.99999806090001142</v>
      </c>
      <c r="AE43" s="217">
        <v>1</v>
      </c>
      <c r="AF43" s="220">
        <f t="shared" si="66"/>
        <v>1.0000019390999886</v>
      </c>
      <c r="AG43" s="218">
        <f t="shared" si="90"/>
        <v>3.8781999771586584E-6</v>
      </c>
      <c r="AH43" s="218">
        <f t="shared" si="91"/>
        <v>-3.485964094425073E-17</v>
      </c>
      <c r="AI43" s="220"/>
      <c r="AJ43" s="217">
        <f t="shared" ca="1" si="68"/>
        <v>1.5089130800015535E-5</v>
      </c>
      <c r="AK43" s="217"/>
      <c r="AL43" s="217"/>
      <c r="AM43" s="217"/>
      <c r="AN43" s="217"/>
      <c r="AO43" s="217"/>
      <c r="AP43" s="217" t="str">
        <f t="shared" ca="1" si="69"/>
        <v>#30: Opg24: Tilsyn</v>
      </c>
      <c r="AQ43" s="217"/>
      <c r="AR43" s="217"/>
      <c r="AS43" s="217">
        <f t="shared" ca="1" si="70"/>
        <v>0.58823529411764708</v>
      </c>
      <c r="AT43" s="217">
        <f t="shared" ca="1" si="71"/>
        <v>1.4705882352941178</v>
      </c>
      <c r="AU43" s="217">
        <f t="shared" ca="1" si="72"/>
        <v>0.98039215686274506</v>
      </c>
      <c r="AV43" s="217"/>
      <c r="AW43" s="217"/>
      <c r="AX43" s="217"/>
      <c r="AY43" s="217"/>
      <c r="AZ43" s="227"/>
    </row>
    <row r="44" spans="1:52" ht="15.45">
      <c r="A44" s="89">
        <v>37</v>
      </c>
      <c r="B44" s="89">
        <v>1</v>
      </c>
      <c r="C44" s="44" t="s">
        <v>185</v>
      </c>
      <c r="D44" s="260">
        <v>0.5</v>
      </c>
      <c r="E44" s="260">
        <v>1</v>
      </c>
      <c r="F44" s="260">
        <v>1.5</v>
      </c>
      <c r="H44" s="298">
        <f t="shared" si="79"/>
        <v>1</v>
      </c>
      <c r="I44" s="70">
        <f t="shared" si="80"/>
        <v>0.2</v>
      </c>
      <c r="J44" s="199">
        <v>1</v>
      </c>
      <c r="K44" s="70">
        <f t="shared" si="81"/>
        <v>4.0000000000000008E-2</v>
      </c>
      <c r="L44" s="87">
        <f t="shared" si="82"/>
        <v>1.0772777714426441E-5</v>
      </c>
      <c r="M44" s="69"/>
      <c r="N44" s="44"/>
      <c r="O44" s="347">
        <f t="shared" si="83"/>
        <v>0</v>
      </c>
      <c r="Q44" s="215">
        <v>1</v>
      </c>
      <c r="R44" s="215">
        <f t="shared" ca="1" si="55"/>
        <v>31</v>
      </c>
      <c r="S44" s="215">
        <f t="shared" ca="1" si="56"/>
        <v>19</v>
      </c>
      <c r="T44" s="244">
        <f t="shared" ca="1" si="84"/>
        <v>1.387277771442644E-5</v>
      </c>
      <c r="U44" s="215">
        <f t="shared" ca="1" si="58"/>
        <v>32</v>
      </c>
      <c r="V44" s="217">
        <f t="shared" si="85"/>
        <v>1.0772777714426441E-5</v>
      </c>
      <c r="W44" s="218">
        <f t="shared" si="86"/>
        <v>0.5</v>
      </c>
      <c r="X44" s="218">
        <f t="shared" si="87"/>
        <v>1</v>
      </c>
      <c r="Y44" s="218">
        <f t="shared" si="88"/>
        <v>1.5</v>
      </c>
      <c r="Z44" s="219">
        <f t="shared" si="63"/>
        <v>1.0327149552492128</v>
      </c>
      <c r="AA44" s="220" t="str">
        <f t="shared" si="89"/>
        <v>Opg37: Forsikringer</v>
      </c>
      <c r="AB44" s="220"/>
      <c r="AC44" s="220"/>
      <c r="AD44" s="220">
        <f t="shared" si="65"/>
        <v>0.99999461361114284</v>
      </c>
      <c r="AE44" s="217">
        <v>1</v>
      </c>
      <c r="AF44" s="220">
        <f t="shared" si="66"/>
        <v>1.0000053863888572</v>
      </c>
      <c r="AG44" s="218">
        <f t="shared" si="90"/>
        <v>1.0772777714329607E-5</v>
      </c>
      <c r="AH44" s="218">
        <f t="shared" si="91"/>
        <v>-9.6834500596006123E-17</v>
      </c>
      <c r="AI44" s="220"/>
      <c r="AJ44" s="217">
        <f t="shared" ca="1" si="68"/>
        <v>1.5089130800015535E-5</v>
      </c>
      <c r="AK44" s="217"/>
      <c r="AL44" s="217"/>
      <c r="AM44" s="217"/>
      <c r="AN44" s="217"/>
      <c r="AO44" s="217"/>
      <c r="AP44" s="217" t="str">
        <f t="shared" ca="1" si="69"/>
        <v>#31: Opg23: Byggeledelse</v>
      </c>
      <c r="AQ44" s="217"/>
      <c r="AR44" s="217"/>
      <c r="AS44" s="217">
        <f t="shared" ca="1" si="70"/>
        <v>0.58823529411764708</v>
      </c>
      <c r="AT44" s="217">
        <f t="shared" ca="1" si="71"/>
        <v>1.4705882352941178</v>
      </c>
      <c r="AU44" s="217">
        <f t="shared" ca="1" si="72"/>
        <v>0.98039215686274506</v>
      </c>
      <c r="AV44" s="217"/>
      <c r="AW44" s="217"/>
      <c r="AX44" s="217"/>
      <c r="AY44" s="217"/>
      <c r="AZ44" s="227"/>
    </row>
    <row r="45" spans="1:52" ht="15.45">
      <c r="A45" s="89">
        <v>38</v>
      </c>
      <c r="B45" s="89">
        <v>1</v>
      </c>
      <c r="C45" s="44" t="s">
        <v>186</v>
      </c>
      <c r="D45" s="361">
        <f>+E45*60%</f>
        <v>4.7527590000000002</v>
      </c>
      <c r="E45" s="361">
        <f>2.5%*SUM(H27:H44)</f>
        <v>7.921265</v>
      </c>
      <c r="F45" s="361">
        <f>+E45*150%</f>
        <v>11.881897500000001</v>
      </c>
      <c r="H45" s="298">
        <f t="shared" si="79"/>
        <v>8.0796903000000011</v>
      </c>
      <c r="I45" s="70">
        <f t="shared" si="80"/>
        <v>1.4258277000000001</v>
      </c>
      <c r="J45" s="199">
        <v>1</v>
      </c>
      <c r="K45" s="70">
        <f t="shared" si="81"/>
        <v>2.0329846300872902</v>
      </c>
      <c r="L45" s="87">
        <f t="shared" si="82"/>
        <v>5.4752228791939595E-4</v>
      </c>
      <c r="M45" s="69"/>
      <c r="N45" s="44" t="s">
        <v>202</v>
      </c>
      <c r="O45" s="347">
        <f t="shared" si="83"/>
        <v>0.10000000000000013</v>
      </c>
      <c r="Q45" s="215">
        <v>1</v>
      </c>
      <c r="R45" s="215">
        <f t="shared" ca="1" si="55"/>
        <v>32</v>
      </c>
      <c r="S45" s="215">
        <f t="shared" ca="1" si="56"/>
        <v>20</v>
      </c>
      <c r="T45" s="244">
        <f t="shared" ca="1" si="84"/>
        <v>5.5072228791939592E-4</v>
      </c>
      <c r="U45" s="215">
        <f t="shared" ca="1" si="58"/>
        <v>22</v>
      </c>
      <c r="V45" s="217">
        <f t="shared" si="85"/>
        <v>5.4752228791939595E-4</v>
      </c>
      <c r="W45" s="218">
        <f t="shared" si="86"/>
        <v>0.58823529411764697</v>
      </c>
      <c r="X45" s="218">
        <f t="shared" si="87"/>
        <v>0.98039215686274495</v>
      </c>
      <c r="Y45" s="218">
        <f t="shared" si="88"/>
        <v>1.4705882352941175</v>
      </c>
      <c r="Z45" s="219">
        <f t="shared" si="63"/>
        <v>1.0327149552492128</v>
      </c>
      <c r="AA45" s="220" t="str">
        <f t="shared" si="89"/>
        <v>Opg38: Finansiering</v>
      </c>
      <c r="AB45" s="220"/>
      <c r="AC45" s="220"/>
      <c r="AD45" s="220">
        <f t="shared" si="65"/>
        <v>0.99972623885604028</v>
      </c>
      <c r="AE45" s="217">
        <v>1</v>
      </c>
      <c r="AF45" s="220">
        <f t="shared" si="66"/>
        <v>1.0002737611439596</v>
      </c>
      <c r="AG45" s="218">
        <f t="shared" si="90"/>
        <v>5.47522287919322E-4</v>
      </c>
      <c r="AH45" s="218">
        <f t="shared" si="91"/>
        <v>-7.3942588163511402E-17</v>
      </c>
      <c r="AI45" s="220"/>
      <c r="AJ45" s="217">
        <f t="shared" ca="1" si="68"/>
        <v>1.0772777714426441E-5</v>
      </c>
      <c r="AK45" s="217"/>
      <c r="AL45" s="217"/>
      <c r="AM45" s="217"/>
      <c r="AN45" s="217"/>
      <c r="AO45" s="217"/>
      <c r="AP45" s="217" t="str">
        <f t="shared" ca="1" si="69"/>
        <v>#32: Opg37: Forsikringer</v>
      </c>
      <c r="AQ45" s="217"/>
      <c r="AR45" s="217"/>
      <c r="AS45" s="217">
        <f t="shared" ca="1" si="70"/>
        <v>0.5</v>
      </c>
      <c r="AT45" s="217">
        <f t="shared" ca="1" si="71"/>
        <v>1.5</v>
      </c>
      <c r="AU45" s="217">
        <f t="shared" ca="1" si="72"/>
        <v>1</v>
      </c>
      <c r="AV45" s="217"/>
      <c r="AW45" s="217"/>
      <c r="AX45" s="217"/>
      <c r="AY45" s="217"/>
      <c r="AZ45" s="227"/>
    </row>
    <row r="46" spans="1:52" ht="15.9" thickBot="1">
      <c r="A46" s="89">
        <v>40</v>
      </c>
      <c r="B46" s="89">
        <v>1</v>
      </c>
      <c r="C46" s="44" t="s">
        <v>178</v>
      </c>
      <c r="D46" s="260">
        <v>20</v>
      </c>
      <c r="E46" s="260">
        <v>45</v>
      </c>
      <c r="F46" s="260">
        <v>75</v>
      </c>
      <c r="G46" s="352">
        <f>+SUM(H46)/Mean_Tasks</f>
        <v>0.12013885221262297</v>
      </c>
      <c r="H46" s="298">
        <f t="shared" si="79"/>
        <v>46</v>
      </c>
      <c r="I46" s="70">
        <f t="shared" si="80"/>
        <v>11</v>
      </c>
      <c r="J46" s="199">
        <v>1</v>
      </c>
      <c r="K46" s="70">
        <f t="shared" si="81"/>
        <v>121</v>
      </c>
      <c r="L46" s="87">
        <f t="shared" si="82"/>
        <v>3.2587652586139979E-2</v>
      </c>
      <c r="M46" s="69"/>
      <c r="N46" s="44" t="s">
        <v>198</v>
      </c>
      <c r="O46" s="347">
        <f t="shared" si="83"/>
        <v>0.1111111111111111</v>
      </c>
      <c r="Q46" s="215">
        <v>1</v>
      </c>
      <c r="R46" s="215">
        <f t="shared" ca="1" si="55"/>
        <v>33</v>
      </c>
      <c r="S46" s="215">
        <f t="shared" ca="1" si="56"/>
        <v>21</v>
      </c>
      <c r="T46" s="244">
        <f t="shared" ca="1" si="84"/>
        <v>3.2590952586139976E-2</v>
      </c>
      <c r="U46" s="215">
        <f t="shared" ca="1" si="58"/>
        <v>9</v>
      </c>
      <c r="V46" s="217">
        <f t="shared" si="85"/>
        <v>3.2587652586139979E-2</v>
      </c>
      <c r="W46" s="218">
        <f t="shared" si="86"/>
        <v>0.43478260869565216</v>
      </c>
      <c r="X46" s="218">
        <f t="shared" si="87"/>
        <v>0.97826086956521741</v>
      </c>
      <c r="Y46" s="218">
        <f t="shared" si="88"/>
        <v>1.6304347826086956</v>
      </c>
      <c r="Z46" s="219">
        <f t="shared" si="63"/>
        <v>1.0327149552492128</v>
      </c>
      <c r="AA46" s="220" t="str">
        <f t="shared" si="89"/>
        <v>Opg40: Andet</v>
      </c>
      <c r="AB46" s="220"/>
      <c r="AC46" s="220"/>
      <c r="AD46" s="220">
        <f t="shared" si="65"/>
        <v>0.98370617370693003</v>
      </c>
      <c r="AE46" s="217">
        <v>1</v>
      </c>
      <c r="AF46" s="220">
        <f t="shared" si="66"/>
        <v>1.0162938262930701</v>
      </c>
      <c r="AG46" s="218">
        <f t="shared" si="90"/>
        <v>3.2587652586140048E-2</v>
      </c>
      <c r="AH46" s="218">
        <f t="shared" si="91"/>
        <v>6.9388939039072284E-17</v>
      </c>
      <c r="AI46" s="220"/>
      <c r="AJ46" s="217">
        <f t="shared" ca="1" si="68"/>
        <v>3.878199977193518E-6</v>
      </c>
      <c r="AK46" s="217"/>
      <c r="AL46" s="217"/>
      <c r="AM46" s="217"/>
      <c r="AN46" s="217"/>
      <c r="AO46" s="217"/>
      <c r="AP46" s="217" t="str">
        <f t="shared" ca="1" si="69"/>
        <v>#33: Opg36: Byggetilladelse</v>
      </c>
      <c r="AQ46" s="217"/>
      <c r="AR46" s="217"/>
      <c r="AS46" s="217">
        <f t="shared" ca="1" si="70"/>
        <v>0.83333333333333326</v>
      </c>
      <c r="AT46" s="217">
        <f t="shared" ca="1" si="71"/>
        <v>1.3888888888888888</v>
      </c>
      <c r="AU46" s="217">
        <f t="shared" ca="1" si="72"/>
        <v>0.92592592592592582</v>
      </c>
      <c r="AV46" s="217"/>
      <c r="AW46" s="217"/>
      <c r="AX46" s="217"/>
      <c r="AY46" s="217"/>
      <c r="AZ46" s="227"/>
    </row>
    <row r="47" spans="1:52" ht="15.9" thickBot="1">
      <c r="A47" s="90"/>
      <c r="B47" s="90"/>
      <c r="C47" s="62" t="s">
        <v>205</v>
      </c>
      <c r="D47" s="63"/>
      <c r="E47" s="63"/>
      <c r="F47" s="63"/>
      <c r="H47" s="285" t="str">
        <f>+$H$10</f>
        <v>Middel</v>
      </c>
      <c r="I47" s="153" t="str">
        <f>+$I$10</f>
        <v>Std</v>
      </c>
      <c r="J47" s="154" t="s">
        <v>51</v>
      </c>
      <c r="K47" s="154" t="str">
        <f>+$K$10</f>
        <v>Var</v>
      </c>
      <c r="L47" s="72"/>
      <c r="M47" s="3"/>
      <c r="N47" s="104"/>
      <c r="O47" s="348"/>
      <c r="Q47" s="139"/>
      <c r="R47" s="215"/>
      <c r="S47" s="215"/>
      <c r="T47" s="244"/>
      <c r="U47" s="215"/>
      <c r="V47" s="217"/>
      <c r="W47" s="217"/>
      <c r="X47" s="217"/>
      <c r="Y47" s="217"/>
      <c r="Z47" s="219"/>
      <c r="AA47" s="220"/>
      <c r="AB47" s="220"/>
      <c r="AC47" s="220"/>
      <c r="AD47" s="220"/>
      <c r="AE47" s="217"/>
      <c r="AF47" s="220"/>
      <c r="AG47" s="218"/>
      <c r="AH47" s="218"/>
      <c r="AI47" s="220"/>
      <c r="AJ47" s="217"/>
      <c r="AK47" s="217"/>
      <c r="AL47" s="217"/>
      <c r="AM47" s="217"/>
      <c r="AN47" s="217"/>
      <c r="AO47" s="217"/>
      <c r="AP47" s="216"/>
      <c r="AQ47" s="216"/>
      <c r="AR47" s="216"/>
      <c r="AS47" s="216"/>
      <c r="AT47" s="138"/>
      <c r="AU47" s="216"/>
      <c r="AV47" s="216"/>
      <c r="AW47" s="216"/>
      <c r="AX47" s="216"/>
      <c r="AY47" s="216"/>
      <c r="AZ47" s="228"/>
    </row>
    <row r="48" spans="1:52" ht="19.2" customHeight="1">
      <c r="A48" s="89">
        <v>97</v>
      </c>
      <c r="B48" s="282">
        <v>1</v>
      </c>
      <c r="C48" s="152" t="s">
        <v>206</v>
      </c>
      <c r="D48" s="254">
        <v>1</v>
      </c>
      <c r="E48" s="254">
        <v>5</v>
      </c>
      <c r="F48" s="254">
        <v>10</v>
      </c>
      <c r="H48" s="99">
        <f>+B48*(D48+FaktorA*E48+F48)/DivisorA</f>
        <v>5.2</v>
      </c>
      <c r="I48" s="99">
        <f>+$B48*(F48-D48)/DivisorB</f>
        <v>1.8</v>
      </c>
      <c r="J48" s="100">
        <f>+IFERROR(I48/H48,0)</f>
        <v>0.34615384615384615</v>
      </c>
      <c r="K48" s="101">
        <f>+(H48*J48*H49)^2*J50</f>
        <v>17.139599999999998</v>
      </c>
      <c r="L48" s="67"/>
      <c r="M48" s="3"/>
      <c r="N48" s="44" t="s">
        <v>63</v>
      </c>
      <c r="O48" s="348"/>
      <c r="Q48" s="139"/>
      <c r="R48" s="215"/>
      <c r="S48" s="215"/>
      <c r="T48" s="244"/>
      <c r="U48" s="215"/>
      <c r="V48" s="217"/>
      <c r="W48" s="217"/>
      <c r="X48" s="217"/>
      <c r="Y48" s="217"/>
      <c r="Z48" s="219"/>
      <c r="AA48" s="220"/>
      <c r="AB48" s="220"/>
      <c r="AC48" s="220"/>
      <c r="AD48" s="220"/>
      <c r="AE48" s="220"/>
      <c r="AF48" s="220"/>
      <c r="AG48" s="220"/>
      <c r="AH48" s="220"/>
      <c r="AI48" s="220"/>
      <c r="AJ48" s="217"/>
      <c r="AK48" s="217"/>
      <c r="AL48" s="217"/>
      <c r="AM48" s="217"/>
      <c r="AN48" s="217"/>
      <c r="AO48" s="217"/>
      <c r="AP48" s="216"/>
      <c r="AQ48" s="216"/>
      <c r="AR48" s="216"/>
      <c r="AS48" s="216"/>
      <c r="AT48" s="138"/>
      <c r="AU48" s="216"/>
      <c r="AV48" s="216"/>
      <c r="AW48" s="216"/>
      <c r="AX48" s="216"/>
      <c r="AY48" s="216"/>
      <c r="AZ48" s="228"/>
    </row>
    <row r="49" spans="1:53" ht="15.9" thickBot="1">
      <c r="A49" s="91"/>
      <c r="B49" s="320">
        <f>+B48</f>
        <v>1</v>
      </c>
      <c r="C49" s="65" t="s">
        <v>146</v>
      </c>
      <c r="D49" s="256">
        <v>0.5</v>
      </c>
      <c r="E49" s="38">
        <v>2</v>
      </c>
      <c r="F49" s="38">
        <v>5</v>
      </c>
      <c r="H49" s="192">
        <f>+B49*(D49+FaktorA*E49+F49)/DivisorA</f>
        <v>2.2999999999999998</v>
      </c>
      <c r="I49" s="192">
        <f>+$B49*(F49-D49)/DivisorB</f>
        <v>0.9</v>
      </c>
      <c r="J49" s="193">
        <f>+IFERROR(I49/H49,0)</f>
        <v>0.39130434782608697</v>
      </c>
      <c r="K49" s="192">
        <f>+(H48*J49*H49)^2*J50</f>
        <v>21.902400000000007</v>
      </c>
      <c r="L49" s="88"/>
      <c r="M49" s="3"/>
      <c r="N49" s="44" t="s">
        <v>64</v>
      </c>
      <c r="O49" s="348"/>
      <c r="Q49" s="139"/>
      <c r="R49" s="215"/>
      <c r="S49" s="215"/>
      <c r="T49" s="244"/>
      <c r="U49" s="215"/>
      <c r="V49" s="217"/>
      <c r="W49" s="217"/>
      <c r="X49" s="217"/>
      <c r="Y49" s="217"/>
      <c r="Z49" s="219"/>
      <c r="AA49" s="220"/>
      <c r="AB49" s="220"/>
      <c r="AC49" s="220"/>
      <c r="AD49" s="220"/>
      <c r="AE49" s="220"/>
      <c r="AF49" s="220"/>
      <c r="AG49" s="220"/>
      <c r="AH49" s="220"/>
      <c r="AI49" s="220"/>
      <c r="AJ49" s="217"/>
      <c r="AK49" s="217"/>
      <c r="AL49" s="217"/>
      <c r="AM49" s="217"/>
      <c r="AN49" s="217"/>
      <c r="AO49" s="217"/>
      <c r="AP49" s="216"/>
      <c r="AQ49" s="216"/>
      <c r="AR49" s="216"/>
      <c r="AS49" s="216"/>
      <c r="AT49" s="138"/>
      <c r="AU49" s="216"/>
      <c r="AV49" s="216"/>
      <c r="AW49" s="216"/>
      <c r="AX49" s="216"/>
      <c r="AY49" s="216"/>
      <c r="AZ49" s="228"/>
    </row>
    <row r="50" spans="1:53" ht="16.3" thickTop="1" thickBot="1">
      <c r="A50" s="92">
        <f>+A48</f>
        <v>97</v>
      </c>
      <c r="B50" s="319">
        <f>+B48</f>
        <v>1</v>
      </c>
      <c r="C50" s="140" t="s">
        <v>207</v>
      </c>
      <c r="D50" s="102">
        <f>+$E50-(5/2)*$I50</f>
        <v>-3.660899461938806</v>
      </c>
      <c r="E50" s="102">
        <f>+H50</f>
        <v>11.959999999999999</v>
      </c>
      <c r="F50" s="102">
        <f>+$E50+(5/2)*$I50</f>
        <v>27.580899461938806</v>
      </c>
      <c r="G50" s="352">
        <f>+SUM(H50)/Mean_Tasks</f>
        <v>3.123610157528197E-2</v>
      </c>
      <c r="H50" s="195">
        <f>+H48*H49</f>
        <v>11.959999999999999</v>
      </c>
      <c r="I50" s="195">
        <f>+SQRT(K50)</f>
        <v>6.2483597847755217</v>
      </c>
      <c r="J50" s="203">
        <v>1</v>
      </c>
      <c r="K50" s="195">
        <f>+SUM(K48:K49)*J50</f>
        <v>39.042000000000002</v>
      </c>
      <c r="L50" s="96">
        <f>+(IF(GrandTotal_Priority&lt;&gt;0,K50/GrandTotal_Priority,0))</f>
        <v>1.0514769688165925E-2</v>
      </c>
      <c r="M50" s="3"/>
      <c r="N50" s="197" t="s">
        <v>83</v>
      </c>
      <c r="O50" s="349">
        <f>+(IFERROR(((F50-E50)-(E50-D50))/E50,0))</f>
        <v>1.4852481934784703E-16</v>
      </c>
      <c r="Q50" s="215">
        <v>1</v>
      </c>
      <c r="R50" s="215">
        <f ca="1">+SUM(INDIRECT("q10:q"&amp;ROW()-0))</f>
        <v>34</v>
      </c>
      <c r="S50" s="215">
        <f ca="1">+SUM(INDIRECT("q25:q"&amp;ROW()-0))</f>
        <v>22</v>
      </c>
      <c r="T50" s="244">
        <f ca="1">+L50+R50*deltaId</f>
        <v>1.0518169688165926E-2</v>
      </c>
      <c r="U50" s="215">
        <f ca="1">+RANK(T50,T$11:T$52)</f>
        <v>13</v>
      </c>
      <c r="V50" s="217">
        <f>+L50</f>
        <v>1.0514769688165925E-2</v>
      </c>
      <c r="W50" s="218">
        <f>+IFERROR(D50/$H50,0)</f>
        <v>-0.30609527273735837</v>
      </c>
      <c r="X50" s="218">
        <f>+IFERROR(E50/$H50,0)</f>
        <v>1</v>
      </c>
      <c r="Y50" s="218">
        <f>+IFERROR(F50/$H50,0)</f>
        <v>2.3060952727373585</v>
      </c>
      <c r="Z50" s="219">
        <f>+$BC$11</f>
        <v>1.0327149552492128</v>
      </c>
      <c r="AA50" s="220" t="str">
        <f>+CONCATENATE("Opg",A50,": ",$C50)</f>
        <v>Opg97: UF'ere (Unk Unks)</v>
      </c>
      <c r="AB50" s="220"/>
      <c r="AC50" s="220"/>
      <c r="AD50" s="220">
        <f>+$AE50-$K50/GrandTotal_Priority*(1/2)</f>
        <v>0.994742615155917</v>
      </c>
      <c r="AE50" s="217">
        <v>1</v>
      </c>
      <c r="AF50" s="220">
        <f>+$AE50+$K50/GrandTotal_Priority*(1/2)</f>
        <v>1.0052573848440829</v>
      </c>
      <c r="AG50" s="218">
        <f t="shared" ref="AG50" si="92">+AF50-AD50</f>
        <v>1.0514769688165893E-2</v>
      </c>
      <c r="AH50" s="218">
        <f t="shared" ref="AH50" si="93">+AG50-L50</f>
        <v>-3.2959746043559335E-17</v>
      </c>
      <c r="AI50" s="220"/>
      <c r="AJ50" s="217" t="e">
        <f ca="1">+VLOOKUP($R50,$U$11:$AA$52,$V$9,FALSE)</f>
        <v>#N/A</v>
      </c>
      <c r="AK50" s="217"/>
      <c r="AL50" s="217"/>
      <c r="AM50" s="217"/>
      <c r="AN50" s="217"/>
      <c r="AO50" s="217"/>
      <c r="AP50" s="217" t="e">
        <f ca="1">+CONCATENATE("#",R50,": ",VLOOKUP($R50,$U$11:$AA$52,$AA$9,FALSE))</f>
        <v>#N/A</v>
      </c>
      <c r="AQ50" s="217"/>
      <c r="AR50" s="217"/>
      <c r="AS50" s="217"/>
      <c r="AT50" s="138"/>
      <c r="AU50" s="217"/>
      <c r="AV50" s="217"/>
      <c r="AW50" s="217"/>
      <c r="AX50" s="217"/>
      <c r="AY50" s="217"/>
      <c r="AZ50" s="227"/>
    </row>
    <row r="51" spans="1:53" ht="15.9" thickBot="1">
      <c r="A51" s="93"/>
      <c r="B51" s="93"/>
      <c r="C51" s="98" t="s">
        <v>62</v>
      </c>
      <c r="D51" s="317">
        <f>+IFERROR(D50/$E50,0)</f>
        <v>-0.30609527273735837</v>
      </c>
      <c r="E51" s="318">
        <v>1</v>
      </c>
      <c r="F51" s="317">
        <f>+IFERROR(F50/$E50,0)</f>
        <v>2.3060952727373585</v>
      </c>
      <c r="H51" s="194"/>
      <c r="I51" s="194"/>
      <c r="J51" s="301"/>
      <c r="K51" s="301"/>
      <c r="L51" s="301"/>
      <c r="N51" s="66"/>
      <c r="Q51" s="139"/>
      <c r="R51" s="138"/>
      <c r="S51" s="138"/>
      <c r="T51" s="246"/>
      <c r="U51" s="138"/>
      <c r="V51" s="138"/>
      <c r="W51" s="138"/>
      <c r="X51" s="138"/>
      <c r="Y51" s="138"/>
      <c r="Z51" s="138"/>
      <c r="AA51" s="220"/>
      <c r="AB51" s="220"/>
      <c r="AC51" s="220"/>
      <c r="AD51" s="220"/>
      <c r="AE51" s="220"/>
      <c r="AF51" s="220"/>
      <c r="AG51" s="220"/>
      <c r="AH51" s="220"/>
      <c r="AI51" s="220"/>
      <c r="AJ51" s="138"/>
      <c r="AK51" s="138"/>
      <c r="AL51" s="138"/>
      <c r="AM51" s="138"/>
      <c r="AN51" s="138"/>
      <c r="AO51" s="138"/>
      <c r="AP51" s="138"/>
      <c r="AQ51" s="138"/>
      <c r="AR51" s="138"/>
      <c r="AS51" s="138"/>
      <c r="AT51" s="138"/>
      <c r="AU51" s="138"/>
      <c r="AV51" s="138"/>
      <c r="AW51" s="138"/>
      <c r="AX51" s="138"/>
      <c r="AY51" s="138"/>
    </row>
    <row r="52" spans="1:53" ht="15.9" thickBot="1">
      <c r="H52" s="80"/>
      <c r="I52" s="81"/>
      <c r="J52" s="204"/>
      <c r="K52" s="76">
        <f>+SUM(K27:K47)+K50</f>
        <v>928.81278291008732</v>
      </c>
      <c r="L52" s="96">
        <f>+SUM(L27:L47)+SUM(L50:L51)</f>
        <v>0.25014734121520477</v>
      </c>
      <c r="M52" s="3"/>
      <c r="N52" s="161" t="s">
        <v>81</v>
      </c>
      <c r="Q52" s="139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8"/>
      <c r="AP52" s="138"/>
      <c r="AQ52" s="138"/>
      <c r="AR52" s="138"/>
      <c r="AS52" s="138"/>
      <c r="AT52" s="138"/>
      <c r="AU52" s="138"/>
      <c r="AV52" s="138"/>
      <c r="AW52" s="138"/>
      <c r="AX52" s="138"/>
      <c r="AY52" s="138"/>
    </row>
    <row r="53" spans="1:53" ht="15.45">
      <c r="D53" s="1"/>
      <c r="E53" s="1"/>
      <c r="F53" s="1"/>
      <c r="G53" s="1"/>
      <c r="H53" s="297">
        <f>+SUM(H27:H47)+H50</f>
        <v>382.89029029999995</v>
      </c>
      <c r="I53" s="183" t="s">
        <v>126</v>
      </c>
      <c r="J53" s="124"/>
      <c r="K53" s="1"/>
    </row>
    <row r="54" spans="1:53">
      <c r="A54" s="32"/>
      <c r="B54" s="32"/>
      <c r="C54" s="32"/>
      <c r="D54" s="32"/>
      <c r="E54" s="32"/>
      <c r="F54" s="32"/>
      <c r="G54" s="32"/>
      <c r="H54" s="33"/>
      <c r="I54" s="33"/>
      <c r="J54" s="205"/>
      <c r="K54" s="32"/>
      <c r="L54" s="35"/>
      <c r="M54" s="32"/>
      <c r="N54" s="36"/>
      <c r="O54" s="36"/>
      <c r="P54" s="36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</row>
    <row r="55" spans="1:53" ht="15" customHeight="1">
      <c r="A55" s="184" t="s">
        <v>80</v>
      </c>
      <c r="B55" s="184"/>
      <c r="C55" s="37"/>
      <c r="D55" s="32"/>
      <c r="E55" s="32"/>
      <c r="F55" s="32"/>
      <c r="G55" s="32"/>
      <c r="H55" s="33"/>
      <c r="I55" s="33"/>
      <c r="J55" s="205"/>
      <c r="K55" s="32"/>
      <c r="L55" s="35"/>
      <c r="M55" s="32"/>
      <c r="N55" s="36"/>
      <c r="O55" s="36"/>
      <c r="P55" s="36"/>
      <c r="Q55" s="139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8"/>
      <c r="AT55" s="138"/>
      <c r="AU55" s="138"/>
      <c r="AV55" s="138"/>
      <c r="AW55" s="138"/>
      <c r="AX55" s="138"/>
      <c r="AY55" s="138"/>
      <c r="AZ55" s="17"/>
      <c r="BA55" s="17"/>
    </row>
    <row r="56" spans="1:53">
      <c r="H56" s="20"/>
      <c r="I56" s="21"/>
    </row>
    <row r="57" spans="1:53" hidden="1">
      <c r="H57" s="20"/>
      <c r="I57" s="21"/>
    </row>
    <row r="58" spans="1:53" ht="15.9" hidden="1" thickBot="1">
      <c r="D58" s="83" t="str">
        <f>+$D$10</f>
        <v>Min</v>
      </c>
      <c r="E58" s="84" t="str">
        <f>+$H$10</f>
        <v>Middel</v>
      </c>
      <c r="F58" s="85" t="str">
        <f>+$F$10</f>
        <v>Max</v>
      </c>
      <c r="H58" s="293" t="s">
        <v>51</v>
      </c>
      <c r="I58" s="286" t="str">
        <f>$I$10</f>
        <v>Std</v>
      </c>
      <c r="J58" s="286" t="str">
        <f>$K$10</f>
        <v>Var</v>
      </c>
    </row>
    <row r="59" spans="1:53" ht="16.3" hidden="1" thickTop="1" thickBot="1">
      <c r="C59" s="140" t="s">
        <v>115</v>
      </c>
      <c r="D59" s="279" t="e">
        <f>+E59-2.5*I59</f>
        <v>#REF!</v>
      </c>
      <c r="E59" s="278" t="e">
        <f>+SUMIFS($H$11:$H$22,$H$11:$H$22,"&gt;=0")+SUMIFS($H$27:$H$39,$H$27:$H$39,"&gt;=0")+IF($H$50&gt;=0,$H$50)+IF(#REF!&gt;=0,#REF!)+IF(#REF!&gt;=0,#REF!)</f>
        <v>#REF!</v>
      </c>
      <c r="F59" s="281" t="e">
        <f>+E59+2.5*I59</f>
        <v>#REF!</v>
      </c>
      <c r="H59" s="294">
        <f>+IFERROR(ABS(I59/E59),0)</f>
        <v>0</v>
      </c>
      <c r="I59" s="295" t="e">
        <f>+SQRT(J59)</f>
        <v>#REF!</v>
      </c>
      <c r="J59" s="296" t="e">
        <f>+SUMIFS($K$11:$K$22,$H$11:$H$22,"&gt;=0")+SUMIFS($K$27:$K$39,$H$27:$H$39,"&gt;=0")+IF($K$50&gt;=0,$K$50)+IF(#REF!&gt;=0,#REF!)+IF(#REF!&gt;=0,#REF!)</f>
        <v>#REF!</v>
      </c>
      <c r="L59" s="309">
        <f>+IFERROR(ABS(E59)/$L$64,0)</f>
        <v>0</v>
      </c>
    </row>
    <row r="60" spans="1:53" hidden="1">
      <c r="H60" s="20"/>
      <c r="I60" s="21"/>
    </row>
    <row r="61" spans="1:53" hidden="1">
      <c r="H61" s="20"/>
      <c r="I61" s="21"/>
    </row>
    <row r="62" spans="1:53" ht="15.9" hidden="1" thickBot="1">
      <c r="D62" s="83" t="str">
        <f>+$D$10</f>
        <v>Min</v>
      </c>
      <c r="E62" s="84" t="str">
        <f>+$H$10</f>
        <v>Middel</v>
      </c>
      <c r="F62" s="85" t="str">
        <f>+$F$10</f>
        <v>Max</v>
      </c>
      <c r="H62" s="293" t="s">
        <v>51</v>
      </c>
      <c r="I62" s="286" t="str">
        <f>$I$10</f>
        <v>Std</v>
      </c>
      <c r="J62" s="286" t="str">
        <f>$K$10</f>
        <v>Var</v>
      </c>
    </row>
    <row r="63" spans="1:53" ht="16.3" hidden="1" thickTop="1" thickBot="1">
      <c r="C63" s="140" t="s">
        <v>116</v>
      </c>
      <c r="D63" s="279" t="e">
        <f>+E63-2.5*I63</f>
        <v>#REF!</v>
      </c>
      <c r="E63" s="280" t="e">
        <f>+SUMIFS($H$11:$H$22,$H$11:$H$22,"&lt;0")+SUMIFS($H$27:$H$39,$H$27:$H$39,"&lt;0")+IF($H$50&lt;0,$H$50)+IF(#REF!&lt;0,#REF!)+IF(#REF!&lt;0,#REF!)</f>
        <v>#REF!</v>
      </c>
      <c r="F63" s="281" t="e">
        <f>+E63+2.5*I63</f>
        <v>#REF!</v>
      </c>
      <c r="H63" s="294">
        <f>+IFERROR(ABS(I63/E63),0)</f>
        <v>0</v>
      </c>
      <c r="I63" s="295" t="e">
        <f>+SQRT(J63)</f>
        <v>#REF!</v>
      </c>
      <c r="J63" s="296" t="e">
        <f>+SUMIFS($K$11:$K$22,$H$11:$H$22,"&lt;0")+SUMIFS($K$27:$K$39,$H$27:$H$39,"&lt;0")+IF($K$50&lt;0,$K$50)+IF(#REF!&lt;0,#REF!)+IF(#REF!&lt;0,#REF!)</f>
        <v>#REF!</v>
      </c>
      <c r="L63" s="309">
        <f>+IFERROR(ABS(E63)/$L$64,0)</f>
        <v>0</v>
      </c>
    </row>
    <row r="64" spans="1:53" hidden="1">
      <c r="H64" s="20"/>
      <c r="I64" s="21"/>
      <c r="L64" s="308" t="e">
        <f>+ABS(E59)+ABS(E63)</f>
        <v>#REF!</v>
      </c>
    </row>
    <row r="65" spans="1:53">
      <c r="H65" s="20"/>
      <c r="I65" s="21"/>
    </row>
    <row r="66" spans="1:53" ht="15" customHeight="1">
      <c r="C66" s="3"/>
      <c r="E66" s="1"/>
      <c r="F66" s="1"/>
      <c r="G66" s="9" t="str">
        <f>+E178</f>
        <v>Budgettet er med 68% sandsynlighed mellem 88 to 112 % af Middelværdien.</v>
      </c>
      <c r="J66" s="202"/>
      <c r="K66" s="5"/>
      <c r="L66" s="10"/>
      <c r="N66" s="39"/>
      <c r="Q66" s="139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8"/>
      <c r="AC66" s="138"/>
      <c r="AD66" s="138"/>
      <c r="AE66" s="138"/>
      <c r="AF66" s="138"/>
      <c r="AG66" s="138"/>
      <c r="AH66" s="138"/>
      <c r="AI66" s="138"/>
      <c r="AJ66" s="138"/>
      <c r="AK66" s="138"/>
      <c r="AL66" s="138"/>
      <c r="AM66" s="138"/>
      <c r="AN66" s="138"/>
      <c r="AO66" s="138"/>
      <c r="AP66" s="138"/>
      <c r="AQ66" s="138"/>
      <c r="AR66" s="138"/>
      <c r="AS66" s="138"/>
      <c r="AT66" s="138"/>
      <c r="AU66" s="138"/>
      <c r="AV66" s="138"/>
      <c r="AW66" s="138"/>
      <c r="AX66" s="138"/>
      <c r="AY66" s="138"/>
    </row>
    <row r="67" spans="1:53" ht="15.9" thickBot="1">
      <c r="C67" s="3"/>
      <c r="D67" s="83" t="str">
        <f>+$BB$10</f>
        <v>Min</v>
      </c>
      <c r="E67" s="84" t="str">
        <f>+$BE$10</f>
        <v>Middel</v>
      </c>
      <c r="F67" s="85" t="str">
        <f>+$BD$10</f>
        <v>Max</v>
      </c>
      <c r="H67" s="86" t="str">
        <f>+$I$10</f>
        <v>Std</v>
      </c>
      <c r="J67" s="86" t="str">
        <f>+$I$10</f>
        <v>Std</v>
      </c>
      <c r="K67" s="86" t="str">
        <f>+$K$10</f>
        <v>Var</v>
      </c>
    </row>
    <row r="68" spans="1:53" s="64" customFormat="1" ht="16.3" thickTop="1" thickBot="1">
      <c r="A68" s="177" t="s">
        <v>76</v>
      </c>
      <c r="B68" s="178"/>
      <c r="C68" s="178"/>
      <c r="D68" s="279">
        <f>+GrandTotal-(5/2)*GrandTotal_StDev</f>
        <v>351.05302501934693</v>
      </c>
      <c r="E68" s="280">
        <f>+Mean_Tasks+Mean_GUs</f>
        <v>503.39029029999995</v>
      </c>
      <c r="F68" s="281">
        <f>+GrandTotal+(5/2)*GrandTotal_StDev</f>
        <v>655.72755558065296</v>
      </c>
      <c r="H68" s="294">
        <f>+IFERROR(J68/E68,0)</f>
        <v>0.12104902952328797</v>
      </c>
      <c r="J68" s="174">
        <f>+SQRT(GrandTotal_Priority)</f>
        <v>60.934906112261196</v>
      </c>
      <c r="K68" s="175">
        <f>+Var_Sum_GeneralUncert+Var_Sum_Tasks</f>
        <v>3713.0627829100872</v>
      </c>
      <c r="L68" s="309"/>
      <c r="N68" s="176"/>
      <c r="O68" s="211"/>
      <c r="P68" s="13"/>
      <c r="Q68" s="211"/>
      <c r="AZ68"/>
      <c r="BA68"/>
    </row>
    <row r="69" spans="1:53" ht="15.9" thickTop="1">
      <c r="A69" s="128"/>
      <c r="B69" s="128"/>
      <c r="D69" s="9" t="s">
        <v>88</v>
      </c>
      <c r="E69" s="1"/>
      <c r="F69" s="125" t="s">
        <v>89</v>
      </c>
      <c r="G69" s="1"/>
      <c r="L69" s="275" t="s">
        <v>125</v>
      </c>
      <c r="M69" s="276">
        <v>0</v>
      </c>
      <c r="N69" s="333" t="s">
        <v>132</v>
      </c>
    </row>
    <row r="70" spans="1:53" ht="15.45">
      <c r="D70" s="126">
        <f>+D68/$E$68</f>
        <v>0.69737742619178</v>
      </c>
      <c r="E70" s="127">
        <f>+E68/$E$68</f>
        <v>1</v>
      </c>
      <c r="F70" s="126">
        <f>+F68/$E$68</f>
        <v>1.30262257380822</v>
      </c>
      <c r="G70" s="1" t="s">
        <v>90</v>
      </c>
      <c r="U70" s="40"/>
    </row>
    <row r="71" spans="1:53" ht="15.45">
      <c r="D71" s="116"/>
      <c r="E71" s="1"/>
      <c r="F71" s="1"/>
      <c r="J71" s="124"/>
      <c r="K71" s="1"/>
    </row>
    <row r="72" spans="1:53" s="64" customFormat="1" ht="15.45">
      <c r="D72" s="1"/>
      <c r="E72" s="114" t="s">
        <v>133</v>
      </c>
      <c r="F72" s="114" t="s">
        <v>134</v>
      </c>
      <c r="G72" s="115"/>
      <c r="H72" s="1"/>
      <c r="K72" s="113"/>
      <c r="L72" s="78"/>
      <c r="O72" s="211"/>
      <c r="P72" s="13"/>
      <c r="Q72" s="211"/>
      <c r="R72"/>
      <c r="S72"/>
      <c r="T72"/>
    </row>
    <row r="73" spans="1:53" ht="16.75">
      <c r="A73" s="79" t="s">
        <v>68</v>
      </c>
      <c r="B73" s="79"/>
      <c r="C73" s="79"/>
      <c r="D73" s="314">
        <v>0.85</v>
      </c>
      <c r="E73" s="117">
        <f>CurveData!$D$7</f>
        <v>0.85000233157566996</v>
      </c>
      <c r="F73" s="118">
        <f>1-E73</f>
        <v>0.14999766842433004</v>
      </c>
      <c r="H73" s="119">
        <f>+$E$68+$J$68*J73</f>
        <v>566.54526158041665</v>
      </c>
      <c r="I73" s="113" t="str">
        <f>+Units</f>
        <v>Mill.</v>
      </c>
      <c r="J73" s="248">
        <f>+_xlfn.NORM.INV(D73,0,1)</f>
        <v>1.0364333894937898</v>
      </c>
      <c r="K73" s="183" t="str">
        <f>+CONCATENATE("Budget = Middel ",IF(D73&gt;=50%,"+",""),ROUND(Budget_NoStd,2)," * Std.")</f>
        <v>Budget = Middel +1,04 * Std.</v>
      </c>
      <c r="L73" s="1"/>
    </row>
    <row r="74" spans="1:53" ht="15.45">
      <c r="E74" s="303">
        <f>+Budget_Chosen/GrandTotal</f>
        <v>1.1254592559637551</v>
      </c>
      <c r="F74" s="1" t="s">
        <v>87</v>
      </c>
      <c r="I74" s="120"/>
      <c r="J74" s="124"/>
      <c r="K74" s="1"/>
    </row>
    <row r="75" spans="1:53" ht="15.45">
      <c r="A75" s="181" t="s">
        <v>86</v>
      </c>
      <c r="B75" s="181"/>
      <c r="D75" s="116" t="str">
        <f>+IF(Budget_Pii&gt;95%,"Meget robust",IF(Budget_Pii&gt;75%,"Robust",IF(Budget_Pii&gt;50%,"Robust'ish",IF(Budget_Pii&gt;30%,"Optimistisk",IF(Budget_Pii&gt;15%,"Meget Optimistisk","Correct?")))))</f>
        <v>Robust</v>
      </c>
      <c r="E75" s="116"/>
      <c r="F75" s="1"/>
      <c r="G75" s="1"/>
      <c r="H75" s="115"/>
      <c r="I75" s="120"/>
      <c r="J75" s="124"/>
      <c r="K75" s="1"/>
      <c r="M75" s="17"/>
    </row>
    <row r="76" spans="1:53" ht="15.45">
      <c r="A76" s="181" t="s">
        <v>78</v>
      </c>
      <c r="B76" s="181"/>
      <c r="D76" s="314">
        <v>0.95</v>
      </c>
      <c r="E76" s="1"/>
      <c r="F76" s="1"/>
      <c r="G76" s="1"/>
      <c r="H76" s="115"/>
      <c r="I76" s="111" t="s">
        <v>119</v>
      </c>
      <c r="J76" s="258">
        <f>+Project_Uncertainty</f>
        <v>0.12545925596375515</v>
      </c>
      <c r="K76" s="1" t="s">
        <v>98</v>
      </c>
      <c r="M76" s="248"/>
    </row>
    <row r="77" spans="1:53" ht="15.45">
      <c r="D77" s="1"/>
      <c r="E77" s="1"/>
      <c r="F77" s="1"/>
      <c r="G77" s="1"/>
      <c r="H77" s="115"/>
      <c r="I77" s="120"/>
      <c r="J77" s="124"/>
      <c r="K77" s="1"/>
    </row>
    <row r="78" spans="1:53" ht="14.15">
      <c r="A78" s="77" t="s">
        <v>69</v>
      </c>
      <c r="B78" s="77"/>
      <c r="C78" s="32"/>
      <c r="D78" s="32"/>
      <c r="E78" s="32"/>
      <c r="F78" s="32"/>
      <c r="G78" s="32"/>
      <c r="H78" s="33"/>
      <c r="I78" s="33"/>
      <c r="J78" s="198"/>
      <c r="K78" s="32"/>
      <c r="L78" s="35"/>
      <c r="M78" s="32"/>
      <c r="N78" s="36"/>
      <c r="O78" s="36"/>
      <c r="P78" s="36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</row>
    <row r="79" spans="1:53" hidden="1">
      <c r="H79" s="20"/>
      <c r="I79" s="21"/>
    </row>
    <row r="80" spans="1:53" ht="14.15">
      <c r="H80" s="20"/>
      <c r="I80" s="21" t="str">
        <f>+HLOOKUP(H81,D81:F82,2,FALSE)</f>
        <v>Alle elementer * B.Faktor</v>
      </c>
      <c r="S80" s="207" t="s">
        <v>33</v>
      </c>
      <c r="T80" s="208">
        <v>-1.0000000000000001E-5</v>
      </c>
      <c r="U80" s="138"/>
      <c r="V80" s="138"/>
      <c r="W80" s="138"/>
      <c r="X80" s="138"/>
      <c r="Y80" s="138"/>
      <c r="Z80" s="138"/>
      <c r="AA80" s="138"/>
      <c r="AB80" s="138"/>
      <c r="AC80" s="138"/>
      <c r="AD80" s="138"/>
      <c r="AE80" s="138"/>
      <c r="AF80" s="138"/>
      <c r="AG80" s="138"/>
      <c r="AH80" s="138"/>
      <c r="AI80" s="138"/>
      <c r="AJ80" s="138"/>
      <c r="AK80" s="138"/>
      <c r="AL80" s="138"/>
      <c r="AM80" s="138"/>
      <c r="AN80" s="138"/>
      <c r="AO80" s="138"/>
      <c r="AP80" s="138"/>
      <c r="AQ80" s="138"/>
      <c r="AR80" s="138"/>
    </row>
    <row r="81" spans="1:71" ht="15.45">
      <c r="C81" s="1"/>
      <c r="D81" s="43">
        <v>1</v>
      </c>
      <c r="E81" s="43">
        <v>2</v>
      </c>
      <c r="F81" s="43">
        <v>3</v>
      </c>
      <c r="H81" s="342">
        <v>2</v>
      </c>
      <c r="I81" t="str">
        <f>+_xlfn.CONCAT("Top 10: ",I80," and P(",TEXT(D73*100,"##"),")")</f>
        <v>Top 10: Alle elementer * B.Faktor and P(85)</v>
      </c>
      <c r="S81" s="138"/>
      <c r="T81" s="229" t="s">
        <v>45</v>
      </c>
      <c r="U81" s="138"/>
      <c r="V81" s="230" t="s">
        <v>44</v>
      </c>
      <c r="W81" s="138"/>
      <c r="X81" s="138"/>
      <c r="Y81" s="138"/>
      <c r="Z81" s="138"/>
      <c r="AA81" s="138"/>
      <c r="AB81" s="138"/>
      <c r="AC81" s="138"/>
      <c r="AD81" s="138"/>
      <c r="AE81" s="138"/>
      <c r="AF81" s="138"/>
      <c r="AG81" s="138"/>
      <c r="AH81" s="138"/>
      <c r="AI81" s="138"/>
      <c r="AJ81" s="138"/>
      <c r="AK81" s="138"/>
      <c r="AL81" s="138"/>
      <c r="AM81" s="138"/>
      <c r="AN81" s="138"/>
      <c r="AO81" s="138"/>
      <c r="AP81" s="138"/>
      <c r="AQ81" s="138"/>
      <c r="AR81" s="138"/>
    </row>
    <row r="82" spans="1:71" ht="34.75">
      <c r="D82" s="341" t="s">
        <v>138</v>
      </c>
      <c r="E82" s="341" t="s">
        <v>139</v>
      </c>
      <c r="F82" s="341" t="s">
        <v>140</v>
      </c>
      <c r="H82" s="230" t="s">
        <v>121</v>
      </c>
      <c r="J82" s="315" t="s">
        <v>53</v>
      </c>
      <c r="K82" s="21"/>
      <c r="S82" s="138"/>
      <c r="T82" s="138"/>
      <c r="U82" s="139">
        <v>1</v>
      </c>
      <c r="V82" s="139">
        <f t="shared" ref="V82" si="94">+U82+1</f>
        <v>2</v>
      </c>
      <c r="W82" s="139">
        <f t="shared" ref="W82" si="95">+V82+1</f>
        <v>3</v>
      </c>
      <c r="X82" s="139">
        <f t="shared" ref="X82" si="96">+W82+1</f>
        <v>4</v>
      </c>
      <c r="Y82" s="139">
        <f t="shared" ref="Y82" si="97">+X82+1</f>
        <v>5</v>
      </c>
      <c r="Z82" s="139">
        <f t="shared" ref="Z82" si="98">+Y82+1</f>
        <v>6</v>
      </c>
      <c r="AA82" s="139">
        <f t="shared" ref="AA82" si="99">+Z82+1</f>
        <v>7</v>
      </c>
      <c r="AB82" s="139"/>
      <c r="AC82" s="139"/>
      <c r="AD82" s="139"/>
      <c r="AE82" s="139"/>
      <c r="AF82" s="139"/>
      <c r="AG82" s="139"/>
      <c r="AH82" s="139"/>
      <c r="AI82" s="139"/>
      <c r="AJ82" s="138"/>
      <c r="AK82" s="138"/>
      <c r="AL82" s="138"/>
      <c r="AM82" s="138"/>
      <c r="AN82" s="138"/>
      <c r="AO82" s="138"/>
      <c r="AP82" s="138"/>
      <c r="AQ82" s="138"/>
      <c r="AR82" s="138"/>
    </row>
    <row r="83" spans="1:71" ht="15.45">
      <c r="A83" s="343" t="s">
        <v>141</v>
      </c>
      <c r="C83" s="16" t="str">
        <f>+_xlfn.CONCAT(C26," &amp; ",C10)</f>
        <v>Opgaver &amp; Generelle Usikkerheder</v>
      </c>
      <c r="D83" s="45" t="str">
        <f>+$H$10</f>
        <v>Middel</v>
      </c>
      <c r="E83" s="156" t="s">
        <v>42</v>
      </c>
      <c r="F83" s="340" t="s">
        <v>42</v>
      </c>
      <c r="H83" s="156" t="s">
        <v>54</v>
      </c>
      <c r="J83" s="156" t="s">
        <v>42</v>
      </c>
      <c r="K83" s="21"/>
      <c r="R83" s="231" t="s">
        <v>35</v>
      </c>
      <c r="S83" s="231" t="s">
        <v>43</v>
      </c>
      <c r="T83" s="232" t="s">
        <v>36</v>
      </c>
      <c r="U83" s="231" t="s">
        <v>37</v>
      </c>
      <c r="V83" s="233" t="s">
        <v>36</v>
      </c>
      <c r="W83" s="233"/>
      <c r="X83" s="233"/>
      <c r="Y83" s="233"/>
      <c r="Z83" s="233" t="s">
        <v>38</v>
      </c>
      <c r="AA83" s="233" t="s">
        <v>39</v>
      </c>
      <c r="AB83" s="233"/>
      <c r="AC83" s="233"/>
      <c r="AD83" s="233"/>
      <c r="AE83" s="233"/>
      <c r="AU83" s="209"/>
      <c r="AV83" s="209"/>
      <c r="AW83" s="209"/>
      <c r="AX83" s="209"/>
      <c r="AY83" s="209"/>
      <c r="AZ83" s="209"/>
      <c r="BQ83" s="233" t="s">
        <v>36</v>
      </c>
      <c r="BR83" s="233"/>
      <c r="BS83" s="233" t="s">
        <v>39</v>
      </c>
    </row>
    <row r="84" spans="1:71" ht="15.45">
      <c r="A84" s="343">
        <v>1</v>
      </c>
      <c r="B84" s="344" t="str">
        <f>+C26</f>
        <v>Opgaver</v>
      </c>
      <c r="C84" s="330" t="str">
        <f t="shared" ref="C84:C103" si="100">+C27</f>
        <v>Nedbrydning</v>
      </c>
      <c r="D84" s="323">
        <f t="shared" ref="D84:D103" si="101">+H27</f>
        <v>14</v>
      </c>
      <c r="E84" s="323">
        <f t="shared" ref="E84:E91" si="102">+D84*Budget_Factor</f>
        <v>15.756429583492571</v>
      </c>
      <c r="F84" s="323">
        <f t="shared" ref="F84:F104" si="103">+D84*TF_Total*Budget_Factor</f>
        <v>20.715160094321757</v>
      </c>
      <c r="H84" s="324">
        <v>1</v>
      </c>
      <c r="I84" s="343">
        <v>1</v>
      </c>
      <c r="J84" s="323">
        <f>+F84*H84</f>
        <v>20.715160094321757</v>
      </c>
      <c r="K84" s="337" t="s">
        <v>123</v>
      </c>
      <c r="Q84" s="139">
        <v>1</v>
      </c>
      <c r="R84" s="215">
        <v>1</v>
      </c>
      <c r="S84" s="328">
        <f ca="1">+SUM(INDIRECT("q92:q"&amp;ROW()-0))</f>
        <v>9</v>
      </c>
      <c r="T84" s="234">
        <f t="shared" ref="T84:T116" si="104">+(IF($H$81=1,D84,0)+IF($H$81=2,E84,0)+IF($H$81=3,F84,0))+R84*deltaId_Budget</f>
        <v>15.756419583492571</v>
      </c>
      <c r="U84" s="215">
        <f t="shared" ref="U84:U116" si="105">+RANK(T84,T$84:T$116,0)</f>
        <v>10</v>
      </c>
      <c r="V84" s="216">
        <f>+(IF($H$81=1,D84,0)+IF($H$81=2,E84,0)+IF($H$81=3,F84,0))*IF($H$81=3,I84,1)</f>
        <v>15.756429583492571</v>
      </c>
      <c r="W84" s="216"/>
      <c r="X84" s="216"/>
      <c r="Y84" s="216"/>
      <c r="Z84" s="219">
        <f t="shared" ref="Z84:Z116" si="106">+$BC$11</f>
        <v>1.0327149552492128</v>
      </c>
      <c r="AA84" s="220" t="str">
        <f t="shared" ref="AA84:AA116" ca="1" si="107">+CONCATENATE($K84,"",S84,": ",$C84)</f>
        <v>Opg.9: Nedbrydning</v>
      </c>
      <c r="AB84" s="220"/>
      <c r="AC84" s="220"/>
      <c r="AD84" s="220"/>
      <c r="AE84" s="220"/>
      <c r="AU84" s="235"/>
      <c r="AV84" s="235"/>
      <c r="AW84" s="235"/>
      <c r="AX84" s="235"/>
      <c r="AY84" s="235"/>
      <c r="AZ84" s="235"/>
      <c r="BQ84" s="216">
        <f t="shared" ref="BQ84:BQ104" si="108">+VLOOKUP($R84,$U$84:$AA$117,$V$82,FALSE)</f>
        <v>118.17322187619428</v>
      </c>
      <c r="BR84" s="216"/>
      <c r="BS84" s="222" t="str">
        <f t="shared" ref="BS84:BS104" ca="1" si="109">+CONCATENATE("#",R84,": ",VLOOKUP($R84,$U$84:$AA$117,$AA$82,FALSE))</f>
        <v>#1: Opg.7: Råhus</v>
      </c>
    </row>
    <row r="85" spans="1:71" ht="15.45">
      <c r="A85" s="343">
        <f>+A84+1</f>
        <v>2</v>
      </c>
      <c r="B85" s="68"/>
      <c r="C85" s="330" t="str">
        <f t="shared" si="100"/>
        <v>Byggeplads</v>
      </c>
      <c r="D85" s="323">
        <f t="shared" si="101"/>
        <v>33</v>
      </c>
      <c r="E85" s="323">
        <f t="shared" si="102"/>
        <v>37.140155446803917</v>
      </c>
      <c r="F85" s="323">
        <f t="shared" si="103"/>
        <v>48.828591650901288</v>
      </c>
      <c r="H85" s="324">
        <v>1</v>
      </c>
      <c r="I85" s="343">
        <v>1</v>
      </c>
      <c r="J85" s="323">
        <f t="shared" ref="J85:J116" si="110">+F85*H85</f>
        <v>48.828591650901288</v>
      </c>
      <c r="K85" s="327" t="str">
        <f t="shared" ref="K85:K104" si="111">+$K$84</f>
        <v>Opg.</v>
      </c>
      <c r="Q85" s="139">
        <v>1</v>
      </c>
      <c r="R85" s="215">
        <f t="shared" ref="R85:R114" si="112">+R84+1</f>
        <v>2</v>
      </c>
      <c r="S85" s="215">
        <f t="shared" ref="S85:S104" ca="1" si="113">+SUM(INDIRECT("q92:q"&amp;ROW()-0))</f>
        <v>8</v>
      </c>
      <c r="T85" s="234">
        <f t="shared" si="104"/>
        <v>37.140135446803917</v>
      </c>
      <c r="U85" s="215">
        <f t="shared" si="105"/>
        <v>5</v>
      </c>
      <c r="V85" s="216">
        <f t="shared" ref="V85:V116" si="114">+(IF($H$81=1,D85,0)+IF($H$81=2,E85,0)+IF($H$81=3,F85,0))*IF($H$81=3,I85,1)</f>
        <v>37.140155446803917</v>
      </c>
      <c r="W85" s="216"/>
      <c r="X85" s="216"/>
      <c r="Y85" s="216"/>
      <c r="Z85" s="219">
        <f t="shared" si="106"/>
        <v>1.0327149552492128</v>
      </c>
      <c r="AA85" s="220" t="str">
        <f t="shared" ca="1" si="107"/>
        <v>Opg.8: Byggeplads</v>
      </c>
      <c r="AB85" s="220"/>
      <c r="AC85" s="220"/>
      <c r="AD85" s="220"/>
      <c r="AE85" s="220"/>
      <c r="AU85" s="235"/>
      <c r="AV85" s="235"/>
      <c r="AW85" s="235"/>
      <c r="AX85" s="235"/>
      <c r="AY85" s="235"/>
      <c r="AZ85" s="235"/>
      <c r="BQ85" s="216">
        <f t="shared" si="108"/>
        <v>55.147503542224001</v>
      </c>
      <c r="BR85" s="216"/>
      <c r="BS85" s="222" t="str">
        <f t="shared" ca="1" si="109"/>
        <v>#2: Opg.5: Aptering</v>
      </c>
    </row>
    <row r="86" spans="1:71" ht="15.45">
      <c r="A86" s="343">
        <f t="shared" ref="A86:A93" si="115">+A85+1</f>
        <v>3</v>
      </c>
      <c r="B86" s="68"/>
      <c r="C86" s="330" t="str">
        <f t="shared" si="100"/>
        <v>Råhus</v>
      </c>
      <c r="D86" s="323">
        <f t="shared" si="101"/>
        <v>105</v>
      </c>
      <c r="E86" s="323">
        <f t="shared" si="102"/>
        <v>118.17322187619428</v>
      </c>
      <c r="F86" s="323">
        <f t="shared" si="103"/>
        <v>155.36370070741319</v>
      </c>
      <c r="H86" s="324">
        <v>1</v>
      </c>
      <c r="I86" s="343">
        <v>1</v>
      </c>
      <c r="J86" s="323">
        <f t="shared" si="110"/>
        <v>155.36370070741319</v>
      </c>
      <c r="K86" s="327" t="str">
        <f t="shared" si="111"/>
        <v>Opg.</v>
      </c>
      <c r="Q86" s="139">
        <v>1</v>
      </c>
      <c r="R86" s="215">
        <f t="shared" si="112"/>
        <v>3</v>
      </c>
      <c r="S86" s="215">
        <f t="shared" ca="1" si="113"/>
        <v>7</v>
      </c>
      <c r="T86" s="234">
        <f t="shared" si="104"/>
        <v>118.17319187619428</v>
      </c>
      <c r="U86" s="215">
        <f t="shared" si="105"/>
        <v>1</v>
      </c>
      <c r="V86" s="216">
        <f t="shared" si="114"/>
        <v>118.17322187619428</v>
      </c>
      <c r="W86" s="216"/>
      <c r="X86" s="216"/>
      <c r="Y86" s="216"/>
      <c r="Z86" s="219">
        <f t="shared" si="106"/>
        <v>1.0327149552492128</v>
      </c>
      <c r="AA86" s="220" t="str">
        <f t="shared" ca="1" si="107"/>
        <v>Opg.7: Råhus</v>
      </c>
      <c r="AB86" s="220"/>
      <c r="AC86" s="220"/>
      <c r="AD86" s="220"/>
      <c r="AE86" s="220"/>
      <c r="AU86" s="235"/>
      <c r="AV86" s="235"/>
      <c r="AW86" s="235"/>
      <c r="AX86" s="235"/>
      <c r="AY86" s="235"/>
      <c r="AZ86" s="235"/>
      <c r="BQ86" s="216">
        <f t="shared" si="108"/>
        <v>51.771125774332731</v>
      </c>
      <c r="BR86" s="216"/>
      <c r="BS86" s="222" t="str">
        <f t="shared" ca="1" si="109"/>
        <v>#3: Opg.12: Andet</v>
      </c>
    </row>
    <row r="87" spans="1:71" ht="15.45">
      <c r="A87" s="343">
        <f t="shared" si="115"/>
        <v>4</v>
      </c>
      <c r="B87" s="68"/>
      <c r="C87" s="330" t="str">
        <f t="shared" si="100"/>
        <v>Lukning</v>
      </c>
      <c r="D87" s="323">
        <f t="shared" si="101"/>
        <v>10.199999999999999</v>
      </c>
      <c r="E87" s="323">
        <f t="shared" si="102"/>
        <v>11.4796844108303</v>
      </c>
      <c r="F87" s="323">
        <f t="shared" si="103"/>
        <v>15.09247378300585</v>
      </c>
      <c r="H87" s="324">
        <v>1</v>
      </c>
      <c r="I87" s="343">
        <v>1</v>
      </c>
      <c r="J87" s="323">
        <f t="shared" si="110"/>
        <v>15.09247378300585</v>
      </c>
      <c r="K87" s="327" t="str">
        <f t="shared" si="111"/>
        <v>Opg.</v>
      </c>
      <c r="Q87" s="139">
        <v>1</v>
      </c>
      <c r="R87" s="215">
        <f t="shared" si="112"/>
        <v>4</v>
      </c>
      <c r="S87" s="215">
        <f t="shared" ca="1" si="113"/>
        <v>6</v>
      </c>
      <c r="T87" s="234">
        <f t="shared" si="104"/>
        <v>11.4796444108303</v>
      </c>
      <c r="U87" s="215">
        <f t="shared" si="105"/>
        <v>17</v>
      </c>
      <c r="V87" s="216">
        <f t="shared" si="114"/>
        <v>11.4796844108303</v>
      </c>
      <c r="W87" s="216"/>
      <c r="X87" s="216"/>
      <c r="Y87" s="216"/>
      <c r="Z87" s="219">
        <f t="shared" si="106"/>
        <v>1.0327149552492128</v>
      </c>
      <c r="AA87" s="220" t="str">
        <f t="shared" ca="1" si="107"/>
        <v>Opg.6: Lukning</v>
      </c>
      <c r="AB87" s="220"/>
      <c r="AC87" s="220"/>
      <c r="AD87" s="220"/>
      <c r="AE87" s="220"/>
      <c r="AU87" s="235"/>
      <c r="AV87" s="235"/>
      <c r="AW87" s="235"/>
      <c r="AX87" s="235"/>
      <c r="AY87" s="235"/>
      <c r="AZ87" s="235"/>
      <c r="BQ87" s="216">
        <f t="shared" si="108"/>
        <v>45.018370238550204</v>
      </c>
      <c r="BR87" s="216"/>
      <c r="BS87" s="222" t="str">
        <f t="shared" ca="1" si="109"/>
        <v>#4: Opg.4: Installationer</v>
      </c>
    </row>
    <row r="88" spans="1:71" ht="15.45">
      <c r="A88" s="343">
        <f t="shared" si="115"/>
        <v>5</v>
      </c>
      <c r="B88" s="68"/>
      <c r="C88" s="330" t="str">
        <f t="shared" si="100"/>
        <v>Aptering</v>
      </c>
      <c r="D88" s="323">
        <f t="shared" si="101"/>
        <v>49</v>
      </c>
      <c r="E88" s="323">
        <f t="shared" si="102"/>
        <v>55.147503542224001</v>
      </c>
      <c r="F88" s="323">
        <f t="shared" si="103"/>
        <v>72.503060330126146</v>
      </c>
      <c r="H88" s="324">
        <v>1</v>
      </c>
      <c r="I88" s="343">
        <v>1</v>
      </c>
      <c r="J88" s="323">
        <f t="shared" si="110"/>
        <v>72.503060330126146</v>
      </c>
      <c r="K88" s="327" t="str">
        <f t="shared" si="111"/>
        <v>Opg.</v>
      </c>
      <c r="Q88" s="139">
        <v>1</v>
      </c>
      <c r="R88" s="215">
        <f t="shared" si="112"/>
        <v>5</v>
      </c>
      <c r="S88" s="215">
        <f t="shared" ca="1" si="113"/>
        <v>5</v>
      </c>
      <c r="T88" s="234">
        <f t="shared" si="104"/>
        <v>55.147453542224</v>
      </c>
      <c r="U88" s="215">
        <f t="shared" si="105"/>
        <v>2</v>
      </c>
      <c r="V88" s="216">
        <f t="shared" si="114"/>
        <v>55.147503542224001</v>
      </c>
      <c r="W88" s="216"/>
      <c r="X88" s="216"/>
      <c r="Y88" s="216"/>
      <c r="Z88" s="219">
        <f t="shared" si="106"/>
        <v>1.0327149552492128</v>
      </c>
      <c r="AA88" s="220" t="str">
        <f t="shared" ca="1" si="107"/>
        <v>Opg.5: Aptering</v>
      </c>
      <c r="AB88" s="220"/>
      <c r="AC88" s="220"/>
      <c r="AD88" s="220"/>
      <c r="AE88" s="220"/>
      <c r="AU88" s="235"/>
      <c r="AV88" s="235"/>
      <c r="AW88" s="235"/>
      <c r="AX88" s="235"/>
      <c r="AY88" s="235"/>
      <c r="AZ88" s="235"/>
      <c r="BQ88" s="216">
        <f t="shared" si="108"/>
        <v>37.140155446803917</v>
      </c>
      <c r="BR88" s="216"/>
      <c r="BS88" s="222" t="str">
        <f t="shared" ca="1" si="109"/>
        <v>#5: Opg.8: Byggeplads</v>
      </c>
    </row>
    <row r="89" spans="1:71" ht="15.45">
      <c r="A89" s="343">
        <f t="shared" si="115"/>
        <v>6</v>
      </c>
      <c r="B89" s="68"/>
      <c r="C89" s="330" t="str">
        <f t="shared" si="100"/>
        <v>Installationer</v>
      </c>
      <c r="D89" s="323">
        <f t="shared" si="101"/>
        <v>40</v>
      </c>
      <c r="E89" s="323">
        <f t="shared" si="102"/>
        <v>45.018370238550204</v>
      </c>
      <c r="F89" s="323">
        <f t="shared" si="103"/>
        <v>59.186171698062161</v>
      </c>
      <c r="H89" s="324">
        <v>1</v>
      </c>
      <c r="I89" s="343">
        <v>1</v>
      </c>
      <c r="J89" s="323">
        <f t="shared" si="110"/>
        <v>59.186171698062161</v>
      </c>
      <c r="K89" s="327" t="str">
        <f t="shared" si="111"/>
        <v>Opg.</v>
      </c>
      <c r="Q89" s="139">
        <v>1</v>
      </c>
      <c r="R89" s="215">
        <f t="shared" si="112"/>
        <v>6</v>
      </c>
      <c r="S89" s="215">
        <f t="shared" ca="1" si="113"/>
        <v>4</v>
      </c>
      <c r="T89" s="234">
        <f t="shared" si="104"/>
        <v>45.018310238550207</v>
      </c>
      <c r="U89" s="215">
        <f t="shared" si="105"/>
        <v>4</v>
      </c>
      <c r="V89" s="216">
        <f t="shared" si="114"/>
        <v>45.018370238550204</v>
      </c>
      <c r="W89" s="216"/>
      <c r="X89" s="216"/>
      <c r="Y89" s="216"/>
      <c r="Z89" s="219">
        <f t="shared" si="106"/>
        <v>1.0327149552492128</v>
      </c>
      <c r="AA89" s="220" t="str">
        <f t="shared" ca="1" si="107"/>
        <v>Opg.4: Installationer</v>
      </c>
      <c r="AB89" s="220"/>
      <c r="AC89" s="220"/>
      <c r="AD89" s="220"/>
      <c r="AE89" s="220"/>
      <c r="AU89" s="235"/>
      <c r="AV89" s="235"/>
      <c r="AW89" s="235"/>
      <c r="AX89" s="235"/>
      <c r="AY89" s="235"/>
      <c r="AZ89" s="235"/>
      <c r="BQ89" s="216">
        <f t="shared" si="108"/>
        <v>21.383725863311348</v>
      </c>
      <c r="BR89" s="216"/>
      <c r="BS89" s="222" t="str">
        <f t="shared" ca="1" si="109"/>
        <v>#6: G.U.4: Krav- og kvalitets-styring</v>
      </c>
    </row>
    <row r="90" spans="1:71" ht="15.45">
      <c r="A90" s="343">
        <f t="shared" si="115"/>
        <v>7</v>
      </c>
      <c r="B90" s="68"/>
      <c r="C90" s="330" t="str">
        <f t="shared" si="100"/>
        <v>Landskab</v>
      </c>
      <c r="D90" s="323">
        <f t="shared" si="101"/>
        <v>11.8</v>
      </c>
      <c r="E90" s="323">
        <f t="shared" si="102"/>
        <v>13.280419220372311</v>
      </c>
      <c r="F90" s="323">
        <f t="shared" si="103"/>
        <v>17.459920650928339</v>
      </c>
      <c r="H90" s="324">
        <v>1</v>
      </c>
      <c r="I90" s="343">
        <v>1</v>
      </c>
      <c r="J90" s="323">
        <f t="shared" si="110"/>
        <v>17.459920650928339</v>
      </c>
      <c r="K90" s="327" t="str">
        <f t="shared" si="111"/>
        <v>Opg.</v>
      </c>
      <c r="Q90" s="139">
        <v>1</v>
      </c>
      <c r="R90" s="215">
        <f t="shared" si="112"/>
        <v>7</v>
      </c>
      <c r="S90" s="215">
        <f t="shared" ca="1" si="113"/>
        <v>3</v>
      </c>
      <c r="T90" s="234">
        <f t="shared" si="104"/>
        <v>13.280349220372312</v>
      </c>
      <c r="U90" s="215">
        <f t="shared" si="105"/>
        <v>15</v>
      </c>
      <c r="V90" s="216">
        <f t="shared" si="114"/>
        <v>13.280419220372311</v>
      </c>
      <c r="W90" s="216"/>
      <c r="X90" s="216"/>
      <c r="Y90" s="216"/>
      <c r="Z90" s="219">
        <f t="shared" si="106"/>
        <v>1.0327149552492128</v>
      </c>
      <c r="AA90" s="220" t="str">
        <f t="shared" ca="1" si="107"/>
        <v>Opg.3: Landskab</v>
      </c>
      <c r="AB90" s="220"/>
      <c r="AC90" s="220"/>
      <c r="AD90" s="220"/>
      <c r="AE90" s="220"/>
      <c r="AU90" s="235"/>
      <c r="AV90" s="235"/>
      <c r="AW90" s="235"/>
      <c r="AX90" s="235"/>
      <c r="AY90" s="235"/>
      <c r="AZ90" s="235"/>
      <c r="BQ90" s="216">
        <f t="shared" si="108"/>
        <v>20.25826660734759</v>
      </c>
      <c r="BR90" s="216"/>
      <c r="BS90" s="222" t="str">
        <f t="shared" ca="1" si="109"/>
        <v>#7: Opg.4: Grundkøb</v>
      </c>
    </row>
    <row r="91" spans="1:71" ht="15.45">
      <c r="A91" s="343">
        <f t="shared" si="115"/>
        <v>8</v>
      </c>
      <c r="B91" s="68"/>
      <c r="C91" s="330" t="str">
        <f t="shared" si="100"/>
        <v>Projektering</v>
      </c>
      <c r="D91" s="323">
        <f t="shared" si="101"/>
        <v>13.281499999999999</v>
      </c>
      <c r="E91" s="323">
        <f t="shared" si="102"/>
        <v>14.947787108082613</v>
      </c>
      <c r="F91" s="323">
        <f t="shared" si="103"/>
        <v>19.652028485195313</v>
      </c>
      <c r="H91" s="324">
        <v>1</v>
      </c>
      <c r="I91" s="343">
        <v>1</v>
      </c>
      <c r="J91" s="323">
        <f t="shared" si="110"/>
        <v>19.652028485195313</v>
      </c>
      <c r="K91" s="327" t="str">
        <f t="shared" si="111"/>
        <v>Opg.</v>
      </c>
      <c r="Q91" s="139">
        <v>1</v>
      </c>
      <c r="R91" s="215">
        <f t="shared" si="112"/>
        <v>8</v>
      </c>
      <c r="S91" s="215">
        <f t="shared" ca="1" si="113"/>
        <v>2</v>
      </c>
      <c r="T91" s="234">
        <f t="shared" si="104"/>
        <v>14.947707108082612</v>
      </c>
      <c r="U91" s="215">
        <f t="shared" si="105"/>
        <v>13</v>
      </c>
      <c r="V91" s="216">
        <f t="shared" si="114"/>
        <v>14.947787108082613</v>
      </c>
      <c r="W91" s="216"/>
      <c r="X91" s="216"/>
      <c r="Y91" s="216"/>
      <c r="Z91" s="219">
        <f t="shared" si="106"/>
        <v>1.0327149552492128</v>
      </c>
      <c r="AA91" s="220" t="str">
        <f t="shared" ca="1" si="107"/>
        <v>Opg.2: Projektering</v>
      </c>
      <c r="AB91" s="220"/>
      <c r="AC91" s="220"/>
      <c r="AD91" s="220"/>
      <c r="AE91" s="220"/>
      <c r="AU91" s="235"/>
      <c r="AV91" s="235"/>
      <c r="AW91" s="235"/>
      <c r="AX91" s="235"/>
      <c r="AY91" s="235"/>
      <c r="AZ91" s="235"/>
      <c r="BQ91" s="216">
        <f t="shared" si="108"/>
        <v>19.132807351383835</v>
      </c>
      <c r="BR91" s="216"/>
      <c r="BS91" s="222" t="str">
        <f t="shared" ca="1" si="109"/>
        <v>#8: G.U.2: Geografisk-indeks</v>
      </c>
    </row>
    <row r="92" spans="1:71" ht="15.45">
      <c r="A92" s="343">
        <f t="shared" si="115"/>
        <v>9</v>
      </c>
      <c r="B92" s="68"/>
      <c r="C92" s="330" t="str">
        <f t="shared" si="100"/>
        <v>Rådgivning</v>
      </c>
      <c r="D92" s="323">
        <f t="shared" si="101"/>
        <v>6.7065000000000001</v>
      </c>
      <c r="E92" s="323">
        <f t="shared" ref="E92:E104" si="116">+D92*Budget_Factor</f>
        <v>7.5478925001209234</v>
      </c>
      <c r="F92" s="323">
        <f t="shared" si="103"/>
        <v>9.9233015123263488</v>
      </c>
      <c r="H92" s="324">
        <v>1</v>
      </c>
      <c r="I92" s="343">
        <v>1</v>
      </c>
      <c r="J92" s="323">
        <f t="shared" si="110"/>
        <v>9.9233015123263488</v>
      </c>
      <c r="K92" s="327" t="str">
        <f t="shared" si="111"/>
        <v>Opg.</v>
      </c>
      <c r="Q92" s="139">
        <v>1</v>
      </c>
      <c r="R92" s="215">
        <f t="shared" si="112"/>
        <v>9</v>
      </c>
      <c r="S92" s="215">
        <f t="shared" ca="1" si="113"/>
        <v>1</v>
      </c>
      <c r="T92" s="234">
        <f t="shared" si="104"/>
        <v>7.5478025001209232</v>
      </c>
      <c r="U92" s="215">
        <f t="shared" si="105"/>
        <v>21</v>
      </c>
      <c r="V92" s="216">
        <f t="shared" si="114"/>
        <v>7.5478925001209234</v>
      </c>
      <c r="W92" s="216"/>
      <c r="X92" s="216"/>
      <c r="Y92" s="216"/>
      <c r="Z92" s="219">
        <f t="shared" si="106"/>
        <v>1.0327149552492128</v>
      </c>
      <c r="AA92" s="220" t="str">
        <f t="shared" ca="1" si="107"/>
        <v>Opg.1: Rådgivning</v>
      </c>
      <c r="AB92" s="220"/>
      <c r="AC92" s="220"/>
      <c r="AD92" s="220"/>
      <c r="AE92" s="220"/>
      <c r="AU92" s="235"/>
      <c r="AV92" s="235"/>
      <c r="AW92" s="235"/>
      <c r="AX92" s="235"/>
      <c r="AY92" s="235"/>
      <c r="AZ92" s="235"/>
      <c r="BQ92" s="216">
        <f t="shared" si="108"/>
        <v>18.007348095420081</v>
      </c>
      <c r="BR92" s="216"/>
      <c r="BS92" s="222" t="str">
        <f t="shared" ca="1" si="109"/>
        <v>#9: G.U.6: Eksterne forhold</v>
      </c>
    </row>
    <row r="93" spans="1:71" ht="15.45">
      <c r="A93" s="343">
        <f t="shared" si="115"/>
        <v>10</v>
      </c>
      <c r="B93" s="68"/>
      <c r="C93" s="330" t="str">
        <f t="shared" si="100"/>
        <v>Byggeledelse</v>
      </c>
      <c r="D93" s="323">
        <f t="shared" si="101"/>
        <v>1.3412999999999999</v>
      </c>
      <c r="E93" s="323">
        <f t="shared" si="116"/>
        <v>1.5095785000241846</v>
      </c>
      <c r="F93" s="323">
        <f t="shared" si="103"/>
        <v>1.9846603024652694</v>
      </c>
      <c r="H93" s="324">
        <v>1</v>
      </c>
      <c r="I93" s="343">
        <v>1</v>
      </c>
      <c r="J93" s="323">
        <f t="shared" si="110"/>
        <v>1.9846603024652694</v>
      </c>
      <c r="K93" s="327" t="str">
        <f t="shared" si="111"/>
        <v>Opg.</v>
      </c>
      <c r="Q93" s="139">
        <v>1</v>
      </c>
      <c r="R93" s="215">
        <f t="shared" si="112"/>
        <v>10</v>
      </c>
      <c r="S93" s="215">
        <f t="shared" ca="1" si="113"/>
        <v>2</v>
      </c>
      <c r="T93" s="234">
        <f t="shared" si="104"/>
        <v>1.5094785000241846</v>
      </c>
      <c r="U93" s="215">
        <f t="shared" si="105"/>
        <v>29</v>
      </c>
      <c r="V93" s="216">
        <f t="shared" si="114"/>
        <v>1.5095785000241846</v>
      </c>
      <c r="W93" s="216"/>
      <c r="X93" s="216"/>
      <c r="Y93" s="216"/>
      <c r="Z93" s="219">
        <f t="shared" si="106"/>
        <v>1.0327149552492128</v>
      </c>
      <c r="AA93" s="220" t="str">
        <f t="shared" ca="1" si="107"/>
        <v>Opg.2: Byggeledelse</v>
      </c>
      <c r="AB93" s="220"/>
      <c r="AC93" s="220"/>
      <c r="AD93" s="220"/>
      <c r="AE93" s="220"/>
      <c r="AU93" s="235"/>
      <c r="AV93" s="235"/>
      <c r="AW93" s="235"/>
      <c r="AX93" s="235"/>
      <c r="AY93" s="235"/>
      <c r="AZ93" s="235"/>
      <c r="BQ93" s="216">
        <f t="shared" si="108"/>
        <v>15.756429583492571</v>
      </c>
      <c r="BR93" s="216"/>
      <c r="BS93" s="222" t="str">
        <f t="shared" ca="1" si="109"/>
        <v>#10: Opg.9: Nedbrydning</v>
      </c>
    </row>
    <row r="94" spans="1:71" ht="15.45" hidden="1">
      <c r="A94" s="343"/>
      <c r="B94" s="68"/>
      <c r="C94" s="330" t="str">
        <f t="shared" si="100"/>
        <v>Tilsyn</v>
      </c>
      <c r="D94" s="323">
        <f t="shared" si="101"/>
        <v>1.3412999999999999</v>
      </c>
      <c r="E94" s="323">
        <f t="shared" si="116"/>
        <v>1.5095785000241846</v>
      </c>
      <c r="F94" s="323">
        <f t="shared" si="103"/>
        <v>1.9846603024652694</v>
      </c>
      <c r="H94" s="324">
        <v>1</v>
      </c>
      <c r="I94" s="343">
        <v>1</v>
      </c>
      <c r="J94" s="323">
        <f t="shared" si="110"/>
        <v>1.9846603024652694</v>
      </c>
      <c r="K94" s="327" t="str">
        <f t="shared" si="111"/>
        <v>Opg.</v>
      </c>
      <c r="Q94" s="139">
        <v>1</v>
      </c>
      <c r="R94" s="215">
        <f t="shared" si="112"/>
        <v>11</v>
      </c>
      <c r="S94" s="215">
        <f t="shared" ca="1" si="113"/>
        <v>3</v>
      </c>
      <c r="T94" s="234">
        <f t="shared" si="104"/>
        <v>1.5094685000241845</v>
      </c>
      <c r="U94" s="215">
        <f t="shared" si="105"/>
        <v>30</v>
      </c>
      <c r="V94" s="216">
        <f t="shared" si="114"/>
        <v>1.5095785000241846</v>
      </c>
      <c r="W94" s="216"/>
      <c r="X94" s="216"/>
      <c r="Y94" s="216"/>
      <c r="Z94" s="219">
        <f t="shared" si="106"/>
        <v>1.0327149552492128</v>
      </c>
      <c r="AA94" s="220" t="str">
        <f t="shared" ca="1" si="107"/>
        <v>Opg.3: Tilsyn</v>
      </c>
      <c r="AB94" s="220"/>
      <c r="AC94" s="220"/>
      <c r="AD94" s="220"/>
      <c r="AE94" s="220"/>
      <c r="AU94" s="235"/>
      <c r="AV94" s="235"/>
      <c r="AW94" s="235"/>
      <c r="AX94" s="235"/>
      <c r="AY94" s="235"/>
      <c r="AZ94" s="235"/>
      <c r="BQ94" s="216">
        <f t="shared" si="108"/>
        <v>15.756429583492571</v>
      </c>
      <c r="BR94" s="216"/>
      <c r="BS94" s="222" t="str">
        <f t="shared" ca="1" si="109"/>
        <v>#11: G.U.11: Kontraktstrategi</v>
      </c>
    </row>
    <row r="95" spans="1:71" ht="15.45" hidden="1">
      <c r="A95" s="343"/>
      <c r="B95" s="68"/>
      <c r="C95" s="330" t="str">
        <f t="shared" si="100"/>
        <v>Grundkøb</v>
      </c>
      <c r="D95" s="323">
        <f t="shared" si="101"/>
        <v>18</v>
      </c>
      <c r="E95" s="323">
        <f t="shared" si="116"/>
        <v>20.25826660734759</v>
      </c>
      <c r="F95" s="323">
        <f t="shared" si="103"/>
        <v>26.633777264127975</v>
      </c>
      <c r="H95" s="324">
        <v>1</v>
      </c>
      <c r="I95" s="343">
        <v>1</v>
      </c>
      <c r="J95" s="323">
        <f t="shared" si="110"/>
        <v>26.633777264127975</v>
      </c>
      <c r="K95" s="327" t="str">
        <f t="shared" si="111"/>
        <v>Opg.</v>
      </c>
      <c r="Q95" s="139">
        <v>1</v>
      </c>
      <c r="R95" s="215">
        <f t="shared" si="112"/>
        <v>12</v>
      </c>
      <c r="S95" s="215">
        <f t="shared" ca="1" si="113"/>
        <v>4</v>
      </c>
      <c r="T95" s="234">
        <f t="shared" si="104"/>
        <v>20.258146607347591</v>
      </c>
      <c r="U95" s="215">
        <f t="shared" si="105"/>
        <v>7</v>
      </c>
      <c r="V95" s="216">
        <f t="shared" si="114"/>
        <v>20.25826660734759</v>
      </c>
      <c r="W95" s="216"/>
      <c r="X95" s="216"/>
      <c r="Y95" s="216"/>
      <c r="Z95" s="219">
        <f t="shared" si="106"/>
        <v>1.0327149552492128</v>
      </c>
      <c r="AA95" s="220" t="str">
        <f t="shared" ca="1" si="107"/>
        <v>Opg.4: Grundkøb</v>
      </c>
      <c r="AB95" s="220"/>
      <c r="AC95" s="220"/>
      <c r="AD95" s="220"/>
      <c r="AE95" s="220"/>
      <c r="AU95" s="235"/>
      <c r="AV95" s="235"/>
      <c r="AW95" s="235"/>
      <c r="AX95" s="235"/>
      <c r="AY95" s="235"/>
      <c r="AZ95" s="235"/>
      <c r="BQ95" s="216">
        <f t="shared" si="108"/>
        <v>15.756429583492571</v>
      </c>
      <c r="BR95" s="216"/>
      <c r="BS95" s="222" t="str">
        <f t="shared" ca="1" si="109"/>
        <v>#12: G.U.9: Kompet. &amp; Erfa. niveau</v>
      </c>
    </row>
    <row r="96" spans="1:71" ht="15.45" hidden="1">
      <c r="A96" s="343"/>
      <c r="B96" s="68"/>
      <c r="C96" s="330" t="str">
        <f t="shared" si="100"/>
        <v>Geoteknisk undersøg.</v>
      </c>
      <c r="D96" s="323">
        <f t="shared" si="101"/>
        <v>2</v>
      </c>
      <c r="E96" s="323">
        <f t="shared" ref="E96:E102" si="117">+D96*Budget_Factor</f>
        <v>2.2509185119275101</v>
      </c>
      <c r="F96" s="323">
        <f t="shared" si="103"/>
        <v>2.9593085849031082</v>
      </c>
      <c r="H96" s="324">
        <v>1</v>
      </c>
      <c r="I96" s="343">
        <v>1</v>
      </c>
      <c r="J96" s="323">
        <f t="shared" si="110"/>
        <v>2.9593085849031082</v>
      </c>
      <c r="K96" s="327" t="str">
        <f t="shared" si="111"/>
        <v>Opg.</v>
      </c>
      <c r="Q96" s="139">
        <v>1</v>
      </c>
      <c r="R96" s="215">
        <f t="shared" si="112"/>
        <v>13</v>
      </c>
      <c r="S96" s="215">
        <f t="shared" ca="1" si="113"/>
        <v>5</v>
      </c>
      <c r="T96" s="234">
        <f t="shared" si="104"/>
        <v>2.2507885119275102</v>
      </c>
      <c r="U96" s="215">
        <f t="shared" si="105"/>
        <v>28</v>
      </c>
      <c r="V96" s="216">
        <f t="shared" si="114"/>
        <v>2.2509185119275101</v>
      </c>
      <c r="W96" s="216"/>
      <c r="X96" s="216"/>
      <c r="Y96" s="216"/>
      <c r="Z96" s="219">
        <f t="shared" si="106"/>
        <v>1.0327149552492128</v>
      </c>
      <c r="AA96" s="220" t="str">
        <f t="shared" ca="1" si="107"/>
        <v>Opg.5: Geoteknisk undersøg.</v>
      </c>
      <c r="AB96" s="220"/>
      <c r="AC96" s="220"/>
      <c r="AD96" s="220"/>
      <c r="AE96" s="220"/>
      <c r="AU96" s="235"/>
      <c r="AV96" s="235"/>
      <c r="AW96" s="235"/>
      <c r="AX96" s="235"/>
      <c r="AY96" s="235"/>
      <c r="AZ96" s="235"/>
      <c r="BQ96" s="216">
        <f t="shared" si="108"/>
        <v>14.947787108082613</v>
      </c>
      <c r="BR96" s="216"/>
      <c r="BS96" s="222" t="str">
        <f t="shared" ca="1" si="109"/>
        <v>#13: Opg.2: Projektering</v>
      </c>
    </row>
    <row r="97" spans="1:71" ht="15.45" hidden="1">
      <c r="A97" s="343"/>
      <c r="B97" s="68"/>
      <c r="C97" s="330" t="str">
        <f t="shared" si="100"/>
        <v>Interne veje</v>
      </c>
      <c r="D97" s="323">
        <f t="shared" si="101"/>
        <v>4.8</v>
      </c>
      <c r="E97" s="323">
        <f t="shared" si="117"/>
        <v>5.4022044286260238</v>
      </c>
      <c r="F97" s="323">
        <f t="shared" si="103"/>
        <v>7.1023406037674599</v>
      </c>
      <c r="H97" s="324">
        <v>1</v>
      </c>
      <c r="I97" s="343">
        <v>1</v>
      </c>
      <c r="J97" s="323">
        <f t="shared" si="110"/>
        <v>7.1023406037674599</v>
      </c>
      <c r="K97" s="327" t="str">
        <f t="shared" si="111"/>
        <v>Opg.</v>
      </c>
      <c r="Q97" s="139">
        <v>1</v>
      </c>
      <c r="R97" s="215">
        <f t="shared" si="112"/>
        <v>14</v>
      </c>
      <c r="S97" s="215">
        <f t="shared" ca="1" si="113"/>
        <v>6</v>
      </c>
      <c r="T97" s="234">
        <f t="shared" si="104"/>
        <v>5.4020644286260238</v>
      </c>
      <c r="U97" s="215">
        <f t="shared" si="105"/>
        <v>24</v>
      </c>
      <c r="V97" s="216">
        <f t="shared" si="114"/>
        <v>5.4022044286260238</v>
      </c>
      <c r="W97" s="216"/>
      <c r="X97" s="216"/>
      <c r="Y97" s="216"/>
      <c r="Z97" s="219">
        <f t="shared" si="106"/>
        <v>1.0327149552492128</v>
      </c>
      <c r="AA97" s="220" t="str">
        <f t="shared" ca="1" si="107"/>
        <v>Opg.6: Interne veje</v>
      </c>
      <c r="AB97" s="220"/>
      <c r="AC97" s="220"/>
      <c r="AD97" s="220"/>
      <c r="AE97" s="220"/>
      <c r="AU97" s="235"/>
      <c r="AV97" s="235"/>
      <c r="AW97" s="235"/>
      <c r="AX97" s="235"/>
      <c r="AY97" s="235"/>
      <c r="AZ97" s="235"/>
      <c r="BQ97" s="216">
        <f t="shared" si="108"/>
        <v>13.46049270132651</v>
      </c>
      <c r="BR97" s="216"/>
      <c r="BS97" s="222" t="str">
        <f t="shared" ca="1" si="109"/>
        <v>#14: Opg.13: UF'ere (Unk Unks)</v>
      </c>
    </row>
    <row r="98" spans="1:71" ht="15.45" hidden="1">
      <c r="A98" s="343"/>
      <c r="B98" s="68"/>
      <c r="C98" s="330" t="str">
        <f t="shared" si="100"/>
        <v>Terrænregulering</v>
      </c>
      <c r="D98" s="323">
        <f t="shared" si="101"/>
        <v>2.2000000000000002</v>
      </c>
      <c r="E98" s="323">
        <f t="shared" si="117"/>
        <v>2.4760103631202615</v>
      </c>
      <c r="F98" s="323">
        <f t="shared" si="103"/>
        <v>3.2552394433934193</v>
      </c>
      <c r="H98" s="324">
        <v>1</v>
      </c>
      <c r="I98" s="343">
        <v>1</v>
      </c>
      <c r="J98" s="323">
        <f t="shared" si="110"/>
        <v>3.2552394433934193</v>
      </c>
      <c r="K98" s="327" t="str">
        <f t="shared" si="111"/>
        <v>Opg.</v>
      </c>
      <c r="Q98" s="139">
        <v>1</v>
      </c>
      <c r="R98" s="215">
        <f t="shared" si="112"/>
        <v>15</v>
      </c>
      <c r="S98" s="215">
        <f t="shared" ca="1" si="113"/>
        <v>7</v>
      </c>
      <c r="T98" s="234">
        <f t="shared" si="104"/>
        <v>2.4758603631202614</v>
      </c>
      <c r="U98" s="215">
        <f t="shared" si="105"/>
        <v>26</v>
      </c>
      <c r="V98" s="216">
        <f t="shared" si="114"/>
        <v>2.4760103631202615</v>
      </c>
      <c r="W98" s="216"/>
      <c r="X98" s="216"/>
      <c r="Y98" s="216"/>
      <c r="Z98" s="219">
        <f t="shared" si="106"/>
        <v>1.0327149552492128</v>
      </c>
      <c r="AA98" s="220" t="str">
        <f t="shared" ca="1" si="107"/>
        <v>Opg.7: Terrænregulering</v>
      </c>
      <c r="AB98" s="220"/>
      <c r="AC98" s="220"/>
      <c r="AD98" s="220"/>
      <c r="AE98" s="220"/>
      <c r="AU98" s="235"/>
      <c r="AV98" s="235"/>
      <c r="AW98" s="235"/>
      <c r="AX98" s="235"/>
      <c r="AY98" s="235"/>
      <c r="AZ98" s="235"/>
      <c r="BQ98" s="216">
        <f t="shared" si="108"/>
        <v>13.280419220372311</v>
      </c>
      <c r="BR98" s="216"/>
      <c r="BS98" s="222" t="str">
        <f t="shared" ca="1" si="109"/>
        <v>#15: Opg.3: Landskab</v>
      </c>
    </row>
    <row r="99" spans="1:71" ht="15.45" hidden="1">
      <c r="A99" s="343"/>
      <c r="B99" s="68"/>
      <c r="C99" s="330" t="str">
        <f t="shared" si="100"/>
        <v>Perimetersikring</v>
      </c>
      <c r="D99" s="323">
        <f t="shared" si="101"/>
        <v>2.1</v>
      </c>
      <c r="E99" s="323">
        <f t="shared" si="117"/>
        <v>2.3634644375238856</v>
      </c>
      <c r="F99" s="323">
        <f t="shared" si="103"/>
        <v>3.1072740141482638</v>
      </c>
      <c r="H99" s="324">
        <v>1</v>
      </c>
      <c r="I99" s="343">
        <v>1</v>
      </c>
      <c r="J99" s="323">
        <f t="shared" si="110"/>
        <v>3.1072740141482638</v>
      </c>
      <c r="K99" s="327" t="str">
        <f t="shared" si="111"/>
        <v>Opg.</v>
      </c>
      <c r="Q99" s="139">
        <v>1</v>
      </c>
      <c r="R99" s="215">
        <f t="shared" si="112"/>
        <v>16</v>
      </c>
      <c r="S99" s="215">
        <f t="shared" ca="1" si="113"/>
        <v>8</v>
      </c>
      <c r="T99" s="234">
        <f t="shared" si="104"/>
        <v>2.3633044375238854</v>
      </c>
      <c r="U99" s="215">
        <f t="shared" si="105"/>
        <v>27</v>
      </c>
      <c r="V99" s="216">
        <f t="shared" si="114"/>
        <v>2.3634644375238856</v>
      </c>
      <c r="W99" s="216"/>
      <c r="X99" s="216"/>
      <c r="Y99" s="216"/>
      <c r="Z99" s="219">
        <f t="shared" si="106"/>
        <v>1.0327149552492128</v>
      </c>
      <c r="AA99" s="220" t="str">
        <f t="shared" ca="1" si="107"/>
        <v>Opg.8: Perimetersikring</v>
      </c>
      <c r="AB99" s="220"/>
      <c r="AC99" s="220"/>
      <c r="AD99" s="220"/>
      <c r="AE99" s="220"/>
      <c r="AU99" s="235"/>
      <c r="AV99" s="235"/>
      <c r="AW99" s="235"/>
      <c r="AX99" s="235"/>
      <c r="AY99" s="235"/>
      <c r="AZ99" s="235"/>
      <c r="BQ99" s="216">
        <f t="shared" si="108"/>
        <v>12.380051815601306</v>
      </c>
      <c r="BR99" s="216"/>
      <c r="BS99" s="222" t="str">
        <f t="shared" ca="1" si="109"/>
        <v>#16: G.U.3: Politisk indf.</v>
      </c>
    </row>
    <row r="100" spans="1:71" ht="15.45" hidden="1">
      <c r="A100" s="343"/>
      <c r="B100" s="68"/>
      <c r="C100" s="330" t="str">
        <f t="shared" si="100"/>
        <v>Byggetilladelse</v>
      </c>
      <c r="D100" s="323">
        <f t="shared" si="101"/>
        <v>1.08</v>
      </c>
      <c r="E100" s="323">
        <f t="shared" si="117"/>
        <v>1.2154959964408556</v>
      </c>
      <c r="F100" s="323">
        <f t="shared" si="103"/>
        <v>1.5980266358476787</v>
      </c>
      <c r="H100" s="324">
        <v>1</v>
      </c>
      <c r="I100" s="343">
        <v>1</v>
      </c>
      <c r="J100" s="323">
        <f t="shared" si="110"/>
        <v>1.5980266358476787</v>
      </c>
      <c r="K100" s="327" t="str">
        <f t="shared" si="111"/>
        <v>Opg.</v>
      </c>
      <c r="Q100" s="139">
        <v>1</v>
      </c>
      <c r="R100" s="215">
        <f t="shared" si="112"/>
        <v>17</v>
      </c>
      <c r="S100" s="215">
        <f t="shared" ca="1" si="113"/>
        <v>9</v>
      </c>
      <c r="T100" s="234">
        <f t="shared" si="104"/>
        <v>1.2153259964408556</v>
      </c>
      <c r="U100" s="215">
        <f t="shared" si="105"/>
        <v>31</v>
      </c>
      <c r="V100" s="216">
        <f t="shared" si="114"/>
        <v>1.2154959964408556</v>
      </c>
      <c r="W100" s="216"/>
      <c r="X100" s="216"/>
      <c r="Y100" s="216"/>
      <c r="Z100" s="219">
        <f t="shared" si="106"/>
        <v>1.0327149552492128</v>
      </c>
      <c r="AA100" s="220" t="str">
        <f t="shared" ca="1" si="107"/>
        <v>Opg.9: Byggetilladelse</v>
      </c>
      <c r="AB100" s="220"/>
      <c r="AC100" s="220"/>
      <c r="AD100" s="220"/>
      <c r="AE100" s="220"/>
      <c r="AU100" s="235"/>
      <c r="AV100" s="235"/>
      <c r="AW100" s="235"/>
      <c r="AX100" s="235"/>
      <c r="AY100" s="235"/>
      <c r="AZ100" s="235"/>
      <c r="BQ100" s="216">
        <f t="shared" si="108"/>
        <v>11.4796844108303</v>
      </c>
      <c r="BR100" s="216"/>
      <c r="BS100" s="222" t="str">
        <f t="shared" ca="1" si="109"/>
        <v>#17: Opg.6: Lukning</v>
      </c>
    </row>
    <row r="101" spans="1:71" ht="15.45" hidden="1">
      <c r="A101" s="343"/>
      <c r="B101" s="68"/>
      <c r="C101" s="330" t="str">
        <f t="shared" si="100"/>
        <v>Forsikringer</v>
      </c>
      <c r="D101" s="323">
        <f t="shared" si="101"/>
        <v>1</v>
      </c>
      <c r="E101" s="323">
        <f t="shared" si="117"/>
        <v>1.1254592559637551</v>
      </c>
      <c r="F101" s="323">
        <f t="shared" si="103"/>
        <v>1.4796542924515541</v>
      </c>
      <c r="H101" s="324">
        <v>1</v>
      </c>
      <c r="I101" s="343">
        <v>1</v>
      </c>
      <c r="J101" s="323">
        <f t="shared" si="110"/>
        <v>1.4796542924515541</v>
      </c>
      <c r="K101" s="327" t="str">
        <f t="shared" si="111"/>
        <v>Opg.</v>
      </c>
      <c r="Q101" s="139">
        <v>1</v>
      </c>
      <c r="R101" s="215">
        <f t="shared" si="112"/>
        <v>18</v>
      </c>
      <c r="S101" s="215">
        <f t="shared" ca="1" si="113"/>
        <v>10</v>
      </c>
      <c r="T101" s="234">
        <f t="shared" si="104"/>
        <v>1.125279255963755</v>
      </c>
      <c r="U101" s="215">
        <f t="shared" si="105"/>
        <v>32</v>
      </c>
      <c r="V101" s="216">
        <f t="shared" si="114"/>
        <v>1.1254592559637551</v>
      </c>
      <c r="W101" s="216"/>
      <c r="X101" s="216"/>
      <c r="Y101" s="216"/>
      <c r="Z101" s="219">
        <f t="shared" si="106"/>
        <v>1.0327149552492128</v>
      </c>
      <c r="AA101" s="220" t="str">
        <f t="shared" ca="1" si="107"/>
        <v>Opg.10: Forsikringer</v>
      </c>
      <c r="AB101" s="220"/>
      <c r="AC101" s="220"/>
      <c r="AD101" s="220"/>
      <c r="AE101" s="220"/>
      <c r="AU101" s="235"/>
      <c r="AV101" s="235"/>
      <c r="AW101" s="235"/>
      <c r="AX101" s="235"/>
      <c r="AY101" s="235"/>
      <c r="AZ101" s="235"/>
      <c r="BQ101" s="216">
        <f t="shared" si="108"/>
        <v>11.254592559637551</v>
      </c>
      <c r="BR101" s="216"/>
      <c r="BS101" s="222" t="str">
        <f t="shared" ca="1" si="109"/>
        <v>#18: G.U.2: Analyse kvaliteten</v>
      </c>
    </row>
    <row r="102" spans="1:71" ht="15.45" hidden="1">
      <c r="A102" s="343"/>
      <c r="B102" s="68"/>
      <c r="C102" s="330" t="str">
        <f t="shared" si="100"/>
        <v>Finansiering</v>
      </c>
      <c r="D102" s="323">
        <f t="shared" si="101"/>
        <v>8.0796903000000011</v>
      </c>
      <c r="E102" s="323">
        <f t="shared" si="117"/>
        <v>9.0933622334555704</v>
      </c>
      <c r="F102" s="323">
        <f t="shared" si="103"/>
        <v>11.955148434074186</v>
      </c>
      <c r="H102" s="324">
        <v>1</v>
      </c>
      <c r="I102" s="343">
        <v>1</v>
      </c>
      <c r="J102" s="323">
        <f t="shared" si="110"/>
        <v>11.955148434074186</v>
      </c>
      <c r="K102" s="327" t="str">
        <f t="shared" si="111"/>
        <v>Opg.</v>
      </c>
      <c r="Q102" s="139">
        <v>1</v>
      </c>
      <c r="R102" s="215">
        <f t="shared" si="112"/>
        <v>19</v>
      </c>
      <c r="S102" s="215">
        <f t="shared" ca="1" si="113"/>
        <v>11</v>
      </c>
      <c r="T102" s="234">
        <f t="shared" si="104"/>
        <v>9.0931722334555705</v>
      </c>
      <c r="U102" s="215">
        <f t="shared" si="105"/>
        <v>20</v>
      </c>
      <c r="V102" s="216">
        <f t="shared" si="114"/>
        <v>9.0933622334555704</v>
      </c>
      <c r="W102" s="216"/>
      <c r="X102" s="216"/>
      <c r="Y102" s="216"/>
      <c r="Z102" s="219">
        <f t="shared" si="106"/>
        <v>1.0327149552492128</v>
      </c>
      <c r="AA102" s="220" t="str">
        <f t="shared" ca="1" si="107"/>
        <v>Opg.11: Finansiering</v>
      </c>
      <c r="AB102" s="220"/>
      <c r="AC102" s="220"/>
      <c r="AD102" s="220"/>
      <c r="AE102" s="220"/>
      <c r="AU102" s="235"/>
      <c r="AV102" s="235"/>
      <c r="AW102" s="235"/>
      <c r="AX102" s="235"/>
      <c r="AY102" s="235"/>
      <c r="AZ102" s="235"/>
      <c r="BQ102" s="216">
        <f t="shared" si="108"/>
        <v>9.5664036756919177</v>
      </c>
      <c r="BR102" s="216"/>
      <c r="BS102" s="222" t="str">
        <f t="shared" ca="1" si="109"/>
        <v>#19: G.U.8: Bygherrens org.</v>
      </c>
    </row>
    <row r="103" spans="1:71" ht="15.45" hidden="1">
      <c r="A103" s="343"/>
      <c r="B103" s="68"/>
      <c r="C103" s="330" t="str">
        <f t="shared" si="100"/>
        <v>Andet</v>
      </c>
      <c r="D103" s="323">
        <f t="shared" si="101"/>
        <v>46</v>
      </c>
      <c r="E103" s="323">
        <f t="shared" ref="E103" si="118">+D103*Budget_Factor</f>
        <v>51.771125774332731</v>
      </c>
      <c r="F103" s="323">
        <f t="shared" si="103"/>
        <v>68.064097452771492</v>
      </c>
      <c r="H103" s="324">
        <v>1</v>
      </c>
      <c r="I103" s="343">
        <v>1</v>
      </c>
      <c r="J103" s="323">
        <f t="shared" si="110"/>
        <v>68.064097452771492</v>
      </c>
      <c r="K103" s="327" t="str">
        <f t="shared" si="111"/>
        <v>Opg.</v>
      </c>
      <c r="Q103" s="139">
        <v>1</v>
      </c>
      <c r="R103" s="215">
        <f t="shared" si="112"/>
        <v>20</v>
      </c>
      <c r="S103" s="215">
        <f t="shared" ca="1" si="113"/>
        <v>12</v>
      </c>
      <c r="T103" s="234">
        <f t="shared" si="104"/>
        <v>51.770925774332731</v>
      </c>
      <c r="U103" s="215">
        <f t="shared" si="105"/>
        <v>3</v>
      </c>
      <c r="V103" s="216">
        <f t="shared" si="114"/>
        <v>51.771125774332731</v>
      </c>
      <c r="W103" s="216"/>
      <c r="X103" s="216"/>
      <c r="Y103" s="216"/>
      <c r="Z103" s="219">
        <f t="shared" si="106"/>
        <v>1.0327149552492128</v>
      </c>
      <c r="AA103" s="220" t="str">
        <f t="shared" ca="1" si="107"/>
        <v>Opg.12: Andet</v>
      </c>
      <c r="AB103" s="220"/>
      <c r="AC103" s="220"/>
      <c r="AD103" s="220"/>
      <c r="AE103" s="220"/>
      <c r="AU103" s="235"/>
      <c r="AV103" s="235"/>
      <c r="AW103" s="235"/>
      <c r="AX103" s="235"/>
      <c r="AY103" s="235"/>
      <c r="AZ103" s="235"/>
      <c r="BQ103" s="216">
        <f t="shared" si="108"/>
        <v>9.0933622334555704</v>
      </c>
      <c r="BR103" s="216"/>
      <c r="BS103" s="222" t="str">
        <f t="shared" ca="1" si="109"/>
        <v>#20: Opg.11: Finansiering</v>
      </c>
    </row>
    <row r="104" spans="1:71" ht="15.45">
      <c r="A104" s="343"/>
      <c r="B104" s="68"/>
      <c r="C104" s="330" t="str">
        <f>+C50</f>
        <v>UF'ere (Unk Unks)</v>
      </c>
      <c r="D104" s="323">
        <f>+H50</f>
        <v>11.959999999999999</v>
      </c>
      <c r="E104" s="323">
        <f t="shared" si="116"/>
        <v>13.46049270132651</v>
      </c>
      <c r="F104" s="323">
        <f t="shared" si="103"/>
        <v>17.696665337720585</v>
      </c>
      <c r="H104" s="324">
        <v>1</v>
      </c>
      <c r="I104" s="343">
        <v>1</v>
      </c>
      <c r="J104" s="323">
        <f t="shared" si="110"/>
        <v>17.696665337720585</v>
      </c>
      <c r="K104" s="327" t="str">
        <f t="shared" si="111"/>
        <v>Opg.</v>
      </c>
      <c r="Q104" s="139">
        <v>1</v>
      </c>
      <c r="R104" s="215">
        <f t="shared" si="112"/>
        <v>21</v>
      </c>
      <c r="S104" s="215">
        <f t="shared" ca="1" si="113"/>
        <v>13</v>
      </c>
      <c r="T104" s="234">
        <f t="shared" si="104"/>
        <v>13.460282701326511</v>
      </c>
      <c r="U104" s="215">
        <f t="shared" si="105"/>
        <v>14</v>
      </c>
      <c r="V104" s="216">
        <f t="shared" si="114"/>
        <v>13.46049270132651</v>
      </c>
      <c r="W104" s="216"/>
      <c r="X104" s="216"/>
      <c r="Y104" s="216"/>
      <c r="Z104" s="219">
        <f t="shared" si="106"/>
        <v>1.0327149552492128</v>
      </c>
      <c r="AA104" s="220" t="str">
        <f t="shared" ca="1" si="107"/>
        <v>Opg.13: UF'ere (Unk Unks)</v>
      </c>
      <c r="AB104" s="220"/>
      <c r="AC104" s="220"/>
      <c r="AD104" s="220"/>
      <c r="AE104" s="220"/>
      <c r="AU104" s="235"/>
      <c r="AV104" s="235"/>
      <c r="AW104" s="235"/>
      <c r="AX104" s="235"/>
      <c r="AY104" s="235"/>
      <c r="AZ104" s="235"/>
      <c r="BQ104" s="216">
        <f t="shared" si="108"/>
        <v>7.5478925001209234</v>
      </c>
      <c r="BR104" s="216"/>
      <c r="BS104" s="222" t="str">
        <f t="shared" ca="1" si="109"/>
        <v>#21: Opg.1: Rådgivning</v>
      </c>
    </row>
    <row r="105" spans="1:71" ht="15.45">
      <c r="B105" s="344" t="str">
        <f>+C10</f>
        <v>Generelle Usikkerheder</v>
      </c>
      <c r="C105" s="329" t="str">
        <f t="shared" ref="C105:C116" si="119">+C11</f>
        <v>Kontraktstrategi</v>
      </c>
      <c r="D105" s="323">
        <f t="shared" ref="D105:D116" si="120">+H11</f>
        <v>14</v>
      </c>
      <c r="E105" s="323">
        <f t="shared" ref="E105:E116" si="121">+D105*Budget_Factor</f>
        <v>15.756429583492571</v>
      </c>
      <c r="F105" s="339">
        <v>0</v>
      </c>
      <c r="H105" s="324">
        <v>1</v>
      </c>
      <c r="I105" s="343">
        <v>0</v>
      </c>
      <c r="J105" s="323">
        <f t="shared" si="110"/>
        <v>0</v>
      </c>
      <c r="K105" s="337" t="s">
        <v>124</v>
      </c>
      <c r="Q105" s="139">
        <v>1</v>
      </c>
      <c r="R105" s="215">
        <f t="shared" si="112"/>
        <v>22</v>
      </c>
      <c r="S105" s="328">
        <f ca="1">+SUM(INDIRECT("q115:q"&amp;ROW()-0))</f>
        <v>11</v>
      </c>
      <c r="T105" s="234">
        <f t="shared" si="104"/>
        <v>15.75620958349257</v>
      </c>
      <c r="U105" s="215">
        <f t="shared" si="105"/>
        <v>11</v>
      </c>
      <c r="V105" s="216">
        <f t="shared" si="114"/>
        <v>15.756429583492571</v>
      </c>
      <c r="W105" s="216"/>
      <c r="X105" s="216"/>
      <c r="Y105" s="216"/>
      <c r="Z105" s="219">
        <f t="shared" si="106"/>
        <v>1.0327149552492128</v>
      </c>
      <c r="AA105" s="220" t="str">
        <f t="shared" ca="1" si="107"/>
        <v>G.U.11: Kontraktstrategi</v>
      </c>
      <c r="AB105" s="220"/>
      <c r="AC105" s="220"/>
      <c r="AD105" s="220"/>
      <c r="AE105" s="220"/>
      <c r="AF105" s="220"/>
      <c r="AG105" s="220"/>
      <c r="AH105" s="220"/>
      <c r="AI105" s="220"/>
      <c r="AQ105" s="216"/>
      <c r="AR105" s="216"/>
      <c r="AS105" s="222"/>
      <c r="AU105" s="235"/>
      <c r="AV105" s="235"/>
      <c r="AW105" s="235"/>
      <c r="AX105" s="235"/>
      <c r="AY105" s="235"/>
      <c r="AZ105" s="235"/>
    </row>
    <row r="106" spans="1:71" ht="15.45">
      <c r="B106" s="68"/>
      <c r="C106" s="329" t="str">
        <f t="shared" si="119"/>
        <v>Grænseflader</v>
      </c>
      <c r="D106" s="323">
        <f t="shared" si="120"/>
        <v>5</v>
      </c>
      <c r="E106" s="323">
        <f t="shared" si="121"/>
        <v>5.6272962798187756</v>
      </c>
      <c r="F106" s="339">
        <v>0</v>
      </c>
      <c r="H106" s="324">
        <v>1</v>
      </c>
      <c r="I106" s="343">
        <v>0</v>
      </c>
      <c r="J106" s="323">
        <f t="shared" si="110"/>
        <v>0</v>
      </c>
      <c r="K106" s="327" t="str">
        <f t="shared" ref="K106:K116" si="122">+$K$105</f>
        <v>G.U.</v>
      </c>
      <c r="Q106" s="139">
        <v>1</v>
      </c>
      <c r="R106" s="215">
        <f t="shared" si="112"/>
        <v>23</v>
      </c>
      <c r="S106" s="215">
        <f t="shared" ref="S106:S116" ca="1" si="123">+SUM(INDIRECT("q115:q"&amp;ROW()-0))</f>
        <v>10</v>
      </c>
      <c r="T106" s="234">
        <f t="shared" si="104"/>
        <v>5.6270662798187754</v>
      </c>
      <c r="U106" s="215">
        <f t="shared" si="105"/>
        <v>23</v>
      </c>
      <c r="V106" s="216">
        <f t="shared" si="114"/>
        <v>5.6272962798187756</v>
      </c>
      <c r="W106" s="216"/>
      <c r="X106" s="216"/>
      <c r="Y106" s="216"/>
      <c r="Z106" s="219">
        <f t="shared" si="106"/>
        <v>1.0327149552492128</v>
      </c>
      <c r="AA106" s="220" t="str">
        <f t="shared" ca="1" si="107"/>
        <v>G.U.10: Grænseflader</v>
      </c>
      <c r="AB106" s="220"/>
      <c r="AC106" s="220"/>
      <c r="AD106" s="220"/>
      <c r="AE106" s="220"/>
      <c r="AF106" s="220"/>
      <c r="AG106" s="220"/>
      <c r="AH106" s="220"/>
      <c r="AI106" s="220"/>
      <c r="AQ106" s="216"/>
      <c r="AR106" s="216"/>
      <c r="AS106" s="222"/>
      <c r="AU106" s="235"/>
      <c r="AV106" s="235"/>
      <c r="AW106" s="235"/>
      <c r="AX106" s="235"/>
      <c r="AY106" s="235"/>
      <c r="AZ106" s="235"/>
    </row>
    <row r="107" spans="1:71" ht="15.45">
      <c r="B107" s="68"/>
      <c r="C107" s="329" t="str">
        <f t="shared" si="119"/>
        <v>Kompet. &amp; Erfa. niveau</v>
      </c>
      <c r="D107" s="323">
        <f t="shared" si="120"/>
        <v>14</v>
      </c>
      <c r="E107" s="323">
        <f t="shared" si="121"/>
        <v>15.756429583492571</v>
      </c>
      <c r="F107" s="339">
        <v>0</v>
      </c>
      <c r="H107" s="324">
        <v>1</v>
      </c>
      <c r="I107" s="343">
        <v>0</v>
      </c>
      <c r="J107" s="323">
        <f t="shared" si="110"/>
        <v>0</v>
      </c>
      <c r="K107" s="327" t="str">
        <f t="shared" si="122"/>
        <v>G.U.</v>
      </c>
      <c r="Q107" s="139">
        <v>1</v>
      </c>
      <c r="R107" s="215">
        <f t="shared" si="112"/>
        <v>24</v>
      </c>
      <c r="S107" s="215">
        <f t="shared" ca="1" si="123"/>
        <v>9</v>
      </c>
      <c r="T107" s="234">
        <f t="shared" si="104"/>
        <v>15.756189583492571</v>
      </c>
      <c r="U107" s="215">
        <f t="shared" si="105"/>
        <v>12</v>
      </c>
      <c r="V107" s="216">
        <f t="shared" si="114"/>
        <v>15.756429583492571</v>
      </c>
      <c r="W107" s="216"/>
      <c r="X107" s="216"/>
      <c r="Y107" s="216"/>
      <c r="Z107" s="219">
        <f t="shared" si="106"/>
        <v>1.0327149552492128</v>
      </c>
      <c r="AA107" s="220" t="str">
        <f t="shared" ca="1" si="107"/>
        <v>G.U.9: Kompet. &amp; Erfa. niveau</v>
      </c>
      <c r="AB107" s="220"/>
      <c r="AC107" s="220"/>
      <c r="AD107" s="220"/>
      <c r="AE107" s="220"/>
      <c r="AF107" s="220"/>
      <c r="AG107" s="220"/>
      <c r="AH107" s="220"/>
      <c r="AI107" s="220"/>
      <c r="AQ107" s="216"/>
      <c r="AR107" s="216"/>
      <c r="AS107" s="222"/>
      <c r="AU107" s="235"/>
      <c r="AV107" s="235"/>
      <c r="AW107" s="235"/>
      <c r="AX107" s="235"/>
      <c r="AY107" s="235"/>
      <c r="AZ107" s="235"/>
    </row>
    <row r="108" spans="1:71" ht="15.45">
      <c r="B108" s="68"/>
      <c r="C108" s="329" t="str">
        <f t="shared" si="119"/>
        <v>Bygherrens org.</v>
      </c>
      <c r="D108" s="323">
        <f t="shared" si="120"/>
        <v>8.5</v>
      </c>
      <c r="E108" s="323">
        <f t="shared" si="121"/>
        <v>9.5664036756919177</v>
      </c>
      <c r="F108" s="339">
        <v>0</v>
      </c>
      <c r="H108" s="324">
        <v>1</v>
      </c>
      <c r="I108" s="343">
        <v>0</v>
      </c>
      <c r="J108" s="323">
        <f t="shared" si="110"/>
        <v>0</v>
      </c>
      <c r="K108" s="327" t="str">
        <f t="shared" si="122"/>
        <v>G.U.</v>
      </c>
      <c r="Q108" s="139">
        <v>1</v>
      </c>
      <c r="R108" s="215">
        <f t="shared" si="112"/>
        <v>25</v>
      </c>
      <c r="S108" s="215">
        <f t="shared" ca="1" si="123"/>
        <v>8</v>
      </c>
      <c r="T108" s="234">
        <f t="shared" si="104"/>
        <v>9.5661536756919183</v>
      </c>
      <c r="U108" s="215">
        <f t="shared" si="105"/>
        <v>19</v>
      </c>
      <c r="V108" s="216">
        <f t="shared" si="114"/>
        <v>9.5664036756919177</v>
      </c>
      <c r="W108" s="216"/>
      <c r="X108" s="216"/>
      <c r="Y108" s="216"/>
      <c r="Z108" s="219">
        <f t="shared" si="106"/>
        <v>1.0327149552492128</v>
      </c>
      <c r="AA108" s="220" t="str">
        <f t="shared" ca="1" si="107"/>
        <v>G.U.8: Bygherrens org.</v>
      </c>
      <c r="AB108" s="220"/>
      <c r="AC108" s="220"/>
      <c r="AD108" s="220"/>
      <c r="AE108" s="220"/>
      <c r="AF108" s="220"/>
      <c r="AG108" s="220"/>
      <c r="AH108" s="220"/>
      <c r="AI108" s="220"/>
      <c r="AQ108" s="216"/>
      <c r="AR108" s="216"/>
      <c r="AS108" s="222"/>
      <c r="AU108" s="235"/>
      <c r="AV108" s="235"/>
      <c r="AW108" s="235"/>
      <c r="AX108" s="235"/>
      <c r="AY108" s="235"/>
      <c r="AZ108" s="235"/>
    </row>
    <row r="109" spans="1:71" ht="15.45">
      <c r="B109" s="68"/>
      <c r="C109" s="329" t="str">
        <f t="shared" si="119"/>
        <v>Projekt Org.</v>
      </c>
      <c r="D109" s="323">
        <f t="shared" si="120"/>
        <v>-4</v>
      </c>
      <c r="E109" s="323">
        <f t="shared" si="121"/>
        <v>-4.5018370238550203</v>
      </c>
      <c r="F109" s="339">
        <v>0</v>
      </c>
      <c r="H109" s="324">
        <v>1</v>
      </c>
      <c r="I109" s="343">
        <v>0</v>
      </c>
      <c r="J109" s="323">
        <f t="shared" si="110"/>
        <v>0</v>
      </c>
      <c r="K109" s="327" t="str">
        <f t="shared" si="122"/>
        <v>G.U.</v>
      </c>
      <c r="Q109" s="139">
        <v>1</v>
      </c>
      <c r="R109" s="215">
        <f t="shared" si="112"/>
        <v>26</v>
      </c>
      <c r="S109" s="215">
        <f t="shared" ca="1" si="123"/>
        <v>7</v>
      </c>
      <c r="T109" s="234">
        <f t="shared" si="104"/>
        <v>-4.5020970238550202</v>
      </c>
      <c r="U109" s="215">
        <f t="shared" si="105"/>
        <v>33</v>
      </c>
      <c r="V109" s="216">
        <f t="shared" si="114"/>
        <v>-4.5018370238550203</v>
      </c>
      <c r="W109" s="216"/>
      <c r="X109" s="216"/>
      <c r="Y109" s="216"/>
      <c r="Z109" s="219">
        <f t="shared" si="106"/>
        <v>1.0327149552492128</v>
      </c>
      <c r="AA109" s="220" t="str">
        <f t="shared" ca="1" si="107"/>
        <v>G.U.7: Projekt Org.</v>
      </c>
      <c r="AB109" s="220"/>
      <c r="AC109" s="220"/>
      <c r="AD109" s="220"/>
      <c r="AE109" s="220"/>
      <c r="AF109" s="220"/>
      <c r="AG109" s="220"/>
      <c r="AH109" s="220"/>
      <c r="AI109" s="220"/>
      <c r="AQ109" s="216"/>
      <c r="AR109" s="216"/>
      <c r="AS109" s="222"/>
      <c r="AU109" s="235"/>
      <c r="AV109" s="235"/>
      <c r="AW109" s="235"/>
      <c r="AX109" s="235"/>
      <c r="AY109" s="235"/>
      <c r="AZ109" s="235"/>
    </row>
    <row r="110" spans="1:71" ht="15.45">
      <c r="B110" s="68"/>
      <c r="C110" s="329" t="str">
        <f t="shared" si="119"/>
        <v>Eksterne forhold</v>
      </c>
      <c r="D110" s="323">
        <f t="shared" si="120"/>
        <v>16</v>
      </c>
      <c r="E110" s="323">
        <f t="shared" si="121"/>
        <v>18.007348095420081</v>
      </c>
      <c r="F110" s="339">
        <v>0</v>
      </c>
      <c r="H110" s="324">
        <v>1</v>
      </c>
      <c r="I110" s="343">
        <v>0</v>
      </c>
      <c r="J110" s="323">
        <f t="shared" si="110"/>
        <v>0</v>
      </c>
      <c r="K110" s="327" t="str">
        <f t="shared" si="122"/>
        <v>G.U.</v>
      </c>
      <c r="Q110" s="139">
        <v>1</v>
      </c>
      <c r="R110" s="215">
        <f t="shared" si="112"/>
        <v>27</v>
      </c>
      <c r="S110" s="215">
        <f t="shared" ca="1" si="123"/>
        <v>6</v>
      </c>
      <c r="T110" s="234">
        <f t="shared" si="104"/>
        <v>18.007078095420081</v>
      </c>
      <c r="U110" s="215">
        <f t="shared" si="105"/>
        <v>9</v>
      </c>
      <c r="V110" s="216">
        <f t="shared" si="114"/>
        <v>18.007348095420081</v>
      </c>
      <c r="W110" s="216"/>
      <c r="X110" s="216"/>
      <c r="Y110" s="216"/>
      <c r="Z110" s="219">
        <f t="shared" si="106"/>
        <v>1.0327149552492128</v>
      </c>
      <c r="AA110" s="220" t="str">
        <f t="shared" ca="1" si="107"/>
        <v>G.U.6: Eksterne forhold</v>
      </c>
      <c r="AB110" s="220"/>
      <c r="AC110" s="220"/>
      <c r="AD110" s="220"/>
      <c r="AE110" s="220"/>
      <c r="AF110" s="220"/>
      <c r="AG110" s="220"/>
      <c r="AH110" s="220"/>
      <c r="AI110" s="220"/>
      <c r="AQ110" s="216"/>
      <c r="AR110" s="216"/>
      <c r="AS110" s="222"/>
      <c r="AU110" s="235"/>
      <c r="AV110" s="235"/>
      <c r="AW110" s="235"/>
      <c r="AX110" s="235"/>
      <c r="AY110" s="235"/>
      <c r="AZ110" s="235"/>
    </row>
    <row r="111" spans="1:71" ht="15.45">
      <c r="B111" s="68"/>
      <c r="C111" s="329" t="str">
        <f t="shared" si="119"/>
        <v>Byggepris-indeks</v>
      </c>
      <c r="D111" s="323">
        <f t="shared" si="120"/>
        <v>6</v>
      </c>
      <c r="E111" s="323">
        <f t="shared" si="121"/>
        <v>6.75275553578253</v>
      </c>
      <c r="F111" s="339">
        <v>0</v>
      </c>
      <c r="H111" s="324">
        <v>1</v>
      </c>
      <c r="I111" s="343">
        <v>0</v>
      </c>
      <c r="J111" s="323">
        <f t="shared" si="110"/>
        <v>0</v>
      </c>
      <c r="K111" s="327" t="str">
        <f t="shared" si="122"/>
        <v>G.U.</v>
      </c>
      <c r="Q111" s="139">
        <v>1</v>
      </c>
      <c r="R111" s="215">
        <f t="shared" si="112"/>
        <v>28</v>
      </c>
      <c r="S111" s="215">
        <f t="shared" ca="1" si="123"/>
        <v>5</v>
      </c>
      <c r="T111" s="234">
        <f t="shared" si="104"/>
        <v>6.7524755357825299</v>
      </c>
      <c r="U111" s="215">
        <f t="shared" si="105"/>
        <v>22</v>
      </c>
      <c r="V111" s="216">
        <f t="shared" si="114"/>
        <v>6.75275553578253</v>
      </c>
      <c r="W111" s="216"/>
      <c r="X111" s="216"/>
      <c r="Y111" s="216"/>
      <c r="Z111" s="219">
        <f t="shared" si="106"/>
        <v>1.0327149552492128</v>
      </c>
      <c r="AA111" s="220" t="str">
        <f t="shared" ca="1" si="107"/>
        <v>G.U.5: Byggepris-indeks</v>
      </c>
      <c r="AB111" s="220"/>
      <c r="AC111" s="220"/>
      <c r="AD111" s="220"/>
      <c r="AE111" s="220"/>
      <c r="AF111" s="220"/>
      <c r="AG111" s="220"/>
      <c r="AH111" s="220"/>
      <c r="AI111" s="220"/>
      <c r="AQ111" s="216"/>
      <c r="AR111" s="216"/>
      <c r="AS111" s="222"/>
      <c r="AU111" s="235"/>
      <c r="AV111" s="235"/>
      <c r="AW111" s="235"/>
      <c r="AX111" s="235"/>
      <c r="AY111" s="235"/>
      <c r="AZ111" s="235"/>
    </row>
    <row r="112" spans="1:71" ht="15.45">
      <c r="B112" s="68"/>
      <c r="C112" s="329" t="str">
        <f t="shared" si="119"/>
        <v>Krav- og kvalitets-styring</v>
      </c>
      <c r="D112" s="323">
        <f t="shared" si="120"/>
        <v>19</v>
      </c>
      <c r="E112" s="323">
        <f t="shared" si="121"/>
        <v>21.383725863311348</v>
      </c>
      <c r="F112" s="339">
        <v>0</v>
      </c>
      <c r="H112" s="324">
        <v>1</v>
      </c>
      <c r="I112" s="343">
        <v>0</v>
      </c>
      <c r="J112" s="323">
        <f t="shared" si="110"/>
        <v>0</v>
      </c>
      <c r="K112" s="327" t="str">
        <f t="shared" si="122"/>
        <v>G.U.</v>
      </c>
      <c r="Q112" s="139">
        <v>1</v>
      </c>
      <c r="R112" s="215">
        <f t="shared" si="112"/>
        <v>29</v>
      </c>
      <c r="S112" s="215">
        <f t="shared" ca="1" si="123"/>
        <v>4</v>
      </c>
      <c r="T112" s="234">
        <f t="shared" si="104"/>
        <v>21.383435863311348</v>
      </c>
      <c r="U112" s="215">
        <f t="shared" si="105"/>
        <v>6</v>
      </c>
      <c r="V112" s="216">
        <f t="shared" si="114"/>
        <v>21.383725863311348</v>
      </c>
      <c r="W112" s="216"/>
      <c r="X112" s="216"/>
      <c r="Y112" s="216"/>
      <c r="Z112" s="219">
        <f t="shared" si="106"/>
        <v>1.0327149552492128</v>
      </c>
      <c r="AA112" s="220" t="str">
        <f t="shared" ca="1" si="107"/>
        <v>G.U.4: Krav- og kvalitets-styring</v>
      </c>
      <c r="AB112" s="220"/>
      <c r="AC112" s="220"/>
      <c r="AD112" s="220"/>
      <c r="AE112" s="220"/>
      <c r="AF112" s="220"/>
      <c r="AG112" s="220"/>
      <c r="AH112" s="220"/>
      <c r="AI112" s="220"/>
      <c r="AQ112" s="216"/>
      <c r="AR112" s="216"/>
      <c r="AS112" s="222"/>
      <c r="AU112" s="235"/>
      <c r="AV112" s="235"/>
      <c r="AW112" s="235"/>
      <c r="AX112" s="235"/>
      <c r="AY112" s="235"/>
      <c r="AZ112" s="235"/>
    </row>
    <row r="113" spans="1:53" ht="15.45">
      <c r="B113" s="68"/>
      <c r="C113" s="329" t="str">
        <f t="shared" si="119"/>
        <v>Politisk indf.</v>
      </c>
      <c r="D113" s="323">
        <f t="shared" si="120"/>
        <v>11</v>
      </c>
      <c r="E113" s="323">
        <f t="shared" si="121"/>
        <v>12.380051815601306</v>
      </c>
      <c r="F113" s="339">
        <v>0</v>
      </c>
      <c r="H113" s="324">
        <v>1</v>
      </c>
      <c r="I113" s="343">
        <v>0</v>
      </c>
      <c r="J113" s="323">
        <f t="shared" si="110"/>
        <v>0</v>
      </c>
      <c r="K113" s="327" t="str">
        <f t="shared" si="122"/>
        <v>G.U.</v>
      </c>
      <c r="Q113" s="139">
        <v>1</v>
      </c>
      <c r="R113" s="215">
        <f t="shared" si="112"/>
        <v>30</v>
      </c>
      <c r="S113" s="215">
        <f t="shared" ca="1" si="123"/>
        <v>3</v>
      </c>
      <c r="T113" s="234">
        <f t="shared" si="104"/>
        <v>12.379751815601306</v>
      </c>
      <c r="U113" s="215">
        <f t="shared" si="105"/>
        <v>16</v>
      </c>
      <c r="V113" s="216">
        <f t="shared" si="114"/>
        <v>12.380051815601306</v>
      </c>
      <c r="W113" s="216"/>
      <c r="X113" s="216"/>
      <c r="Y113" s="216"/>
      <c r="Z113" s="219">
        <f t="shared" si="106"/>
        <v>1.0327149552492128</v>
      </c>
      <c r="AA113" s="220" t="str">
        <f t="shared" ca="1" si="107"/>
        <v>G.U.3: Politisk indf.</v>
      </c>
      <c r="AB113" s="220"/>
      <c r="AC113" s="220"/>
      <c r="AD113" s="220"/>
      <c r="AE113" s="220"/>
      <c r="AF113" s="220"/>
      <c r="AG113" s="220"/>
      <c r="AH113" s="220"/>
      <c r="AI113" s="220"/>
      <c r="AQ113" s="216"/>
      <c r="AR113" s="216"/>
      <c r="AS113" s="222"/>
      <c r="AU113" s="235"/>
      <c r="AV113" s="235"/>
      <c r="AW113" s="235"/>
      <c r="AX113" s="235"/>
      <c r="AY113" s="235"/>
      <c r="AZ113" s="235"/>
    </row>
    <row r="114" spans="1:53" ht="15.45">
      <c r="B114" s="68"/>
      <c r="C114" s="329" t="str">
        <f t="shared" si="119"/>
        <v>Geografisk-indeks</v>
      </c>
      <c r="D114" s="323">
        <f t="shared" si="120"/>
        <v>17</v>
      </c>
      <c r="E114" s="323">
        <f t="shared" si="121"/>
        <v>19.132807351383835</v>
      </c>
      <c r="F114" s="339">
        <v>0</v>
      </c>
      <c r="H114" s="324">
        <v>1</v>
      </c>
      <c r="I114" s="343">
        <v>0</v>
      </c>
      <c r="J114" s="323">
        <f t="shared" si="110"/>
        <v>0</v>
      </c>
      <c r="K114" s="327" t="str">
        <f t="shared" si="122"/>
        <v>G.U.</v>
      </c>
      <c r="Q114" s="139">
        <v>1</v>
      </c>
      <c r="R114" s="215">
        <f t="shared" si="112"/>
        <v>31</v>
      </c>
      <c r="S114" s="215">
        <f t="shared" ca="1" si="123"/>
        <v>2</v>
      </c>
      <c r="T114" s="234">
        <f t="shared" si="104"/>
        <v>19.132497351383837</v>
      </c>
      <c r="U114" s="215">
        <f t="shared" si="105"/>
        <v>8</v>
      </c>
      <c r="V114" s="216">
        <f t="shared" si="114"/>
        <v>19.132807351383835</v>
      </c>
      <c r="W114" s="216"/>
      <c r="X114" s="216"/>
      <c r="Y114" s="216"/>
      <c r="Z114" s="219">
        <f t="shared" si="106"/>
        <v>1.0327149552492128</v>
      </c>
      <c r="AA114" s="220" t="str">
        <f t="shared" ca="1" si="107"/>
        <v>G.U.2: Geografisk-indeks</v>
      </c>
      <c r="AB114" s="220"/>
      <c r="AC114" s="220"/>
      <c r="AD114" s="220"/>
      <c r="AE114" s="220"/>
      <c r="AF114" s="220"/>
      <c r="AG114" s="220"/>
      <c r="AH114" s="220"/>
      <c r="AI114" s="220"/>
      <c r="AQ114" s="216"/>
      <c r="AR114" s="216"/>
      <c r="AS114" s="222"/>
      <c r="AU114" s="235"/>
      <c r="AV114" s="235"/>
      <c r="AW114" s="235"/>
      <c r="AX114" s="235"/>
      <c r="AY114" s="235"/>
      <c r="AZ114" s="235"/>
    </row>
    <row r="115" spans="1:53" ht="15.45">
      <c r="B115" s="68"/>
      <c r="C115" s="329" t="str">
        <f t="shared" si="119"/>
        <v>Medierne</v>
      </c>
      <c r="D115" s="323">
        <f t="shared" si="120"/>
        <v>4</v>
      </c>
      <c r="E115" s="323">
        <f t="shared" ref="E115" si="124">+D115*Budget_Factor</f>
        <v>4.5018370238550203</v>
      </c>
      <c r="F115" s="339">
        <v>0</v>
      </c>
      <c r="H115" s="324">
        <v>1</v>
      </c>
      <c r="I115" s="343">
        <v>0</v>
      </c>
      <c r="J115" s="323">
        <f t="shared" si="110"/>
        <v>0</v>
      </c>
      <c r="K115" s="327" t="str">
        <f t="shared" si="122"/>
        <v>G.U.</v>
      </c>
      <c r="Q115" s="139">
        <v>1</v>
      </c>
      <c r="R115" s="215">
        <f>+R113+1</f>
        <v>31</v>
      </c>
      <c r="S115" s="215">
        <f t="shared" ca="1" si="123"/>
        <v>1</v>
      </c>
      <c r="T115" s="234">
        <f t="shared" si="104"/>
        <v>4.5015270238550205</v>
      </c>
      <c r="U115" s="215">
        <f t="shared" si="105"/>
        <v>25</v>
      </c>
      <c r="V115" s="216">
        <f t="shared" si="114"/>
        <v>4.5018370238550203</v>
      </c>
      <c r="W115" s="216"/>
      <c r="X115" s="216"/>
      <c r="Y115" s="216"/>
      <c r="Z115" s="219">
        <f t="shared" si="106"/>
        <v>1.0327149552492128</v>
      </c>
      <c r="AA115" s="220" t="str">
        <f t="shared" ca="1" si="107"/>
        <v>G.U.1: Medierne</v>
      </c>
      <c r="AB115" s="220"/>
      <c r="AC115" s="220"/>
      <c r="AD115" s="220"/>
      <c r="AE115" s="220"/>
      <c r="AF115" s="220"/>
      <c r="AG115" s="220"/>
      <c r="AH115" s="220"/>
      <c r="AI115" s="220"/>
      <c r="AQ115" s="216"/>
      <c r="AR115" s="216"/>
      <c r="AS115" s="222"/>
      <c r="AU115" s="235"/>
      <c r="AV115" s="235"/>
      <c r="AW115" s="235"/>
      <c r="AX115" s="235"/>
      <c r="AY115" s="235"/>
      <c r="AZ115" s="235"/>
    </row>
    <row r="116" spans="1:53" ht="15.9" thickBot="1">
      <c r="B116" s="68"/>
      <c r="C116" s="329" t="str">
        <f t="shared" si="119"/>
        <v>Analyse kvaliteten</v>
      </c>
      <c r="D116" s="323">
        <f t="shared" si="120"/>
        <v>10</v>
      </c>
      <c r="E116" s="323">
        <f t="shared" si="121"/>
        <v>11.254592559637551</v>
      </c>
      <c r="F116" s="339">
        <v>0</v>
      </c>
      <c r="H116" s="324">
        <v>1</v>
      </c>
      <c r="I116" s="343">
        <v>0</v>
      </c>
      <c r="J116" s="323">
        <f t="shared" si="110"/>
        <v>0</v>
      </c>
      <c r="K116" s="327" t="str">
        <f t="shared" si="122"/>
        <v>G.U.</v>
      </c>
      <c r="Q116" s="139">
        <v>1</v>
      </c>
      <c r="R116" s="215">
        <f>+R114+1</f>
        <v>32</v>
      </c>
      <c r="S116" s="215">
        <f t="shared" ca="1" si="123"/>
        <v>2</v>
      </c>
      <c r="T116" s="234">
        <f t="shared" si="104"/>
        <v>11.254272559637551</v>
      </c>
      <c r="U116" s="215">
        <f t="shared" si="105"/>
        <v>18</v>
      </c>
      <c r="V116" s="216">
        <f t="shared" si="114"/>
        <v>11.254592559637551</v>
      </c>
      <c r="W116" s="216"/>
      <c r="X116" s="216"/>
      <c r="Y116" s="216"/>
      <c r="Z116" s="219">
        <f t="shared" si="106"/>
        <v>1.0327149552492128</v>
      </c>
      <c r="AA116" s="220" t="str">
        <f t="shared" ca="1" si="107"/>
        <v>G.U.2: Analyse kvaliteten</v>
      </c>
      <c r="AB116" s="220"/>
      <c r="AC116" s="220"/>
      <c r="AD116" s="220"/>
      <c r="AE116" s="220"/>
      <c r="AF116" s="220"/>
      <c r="AG116" s="220"/>
      <c r="AH116" s="220"/>
      <c r="AI116" s="220"/>
      <c r="AQ116" s="216"/>
      <c r="AR116" s="216"/>
      <c r="AS116" s="222"/>
      <c r="AU116" s="235"/>
      <c r="AV116" s="235"/>
      <c r="AW116" s="235"/>
      <c r="AX116" s="235"/>
      <c r="AY116" s="235"/>
      <c r="AZ116" s="235"/>
    </row>
    <row r="117" spans="1:53" ht="15.9" thickBot="1">
      <c r="C117" s="325" t="s">
        <v>46</v>
      </c>
      <c r="D117" s="326">
        <f>+SUM(D84:D116)</f>
        <v>503.39029029999995</v>
      </c>
      <c r="E117" s="326">
        <f>+SUM(E84:E116)</f>
        <v>566.54526158041665</v>
      </c>
      <c r="F117" s="326">
        <f>+SUM(F84:F116)</f>
        <v>566.54526158041665</v>
      </c>
      <c r="H117" s="326"/>
      <c r="I117" s="64"/>
      <c r="J117" s="326">
        <f>+SUM(J84:J116)</f>
        <v>566.54526158041665</v>
      </c>
      <c r="K117" s="21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53" ht="15.45">
      <c r="C118" s="1"/>
      <c r="D118" s="1"/>
      <c r="E118" s="1"/>
      <c r="F118" s="1"/>
      <c r="G118" s="1"/>
      <c r="H118" s="115"/>
      <c r="I118" s="21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1:53" ht="15.45">
      <c r="C119" s="1" t="s">
        <v>84</v>
      </c>
      <c r="D119" s="1"/>
      <c r="E119" s="1"/>
      <c r="F119" s="1"/>
      <c r="G119" s="1"/>
      <c r="H119" s="115"/>
      <c r="I119" s="21"/>
    </row>
    <row r="120" spans="1:53" ht="15.45">
      <c r="C120" s="1" t="s">
        <v>85</v>
      </c>
      <c r="D120" s="1"/>
      <c r="E120" s="1"/>
      <c r="F120" s="1"/>
      <c r="G120" s="1"/>
      <c r="H120" s="115"/>
      <c r="I120" s="21"/>
    </row>
    <row r="121" spans="1:53">
      <c r="H121" s="20"/>
      <c r="I121" s="21"/>
    </row>
    <row r="122" spans="1:53">
      <c r="A122" s="32"/>
      <c r="B122" s="32"/>
      <c r="C122" s="32"/>
      <c r="D122" s="32"/>
      <c r="E122" s="32"/>
      <c r="F122" s="32"/>
      <c r="G122" s="32"/>
      <c r="H122" s="33"/>
      <c r="I122" s="33"/>
      <c r="J122" s="198"/>
      <c r="K122" s="32"/>
      <c r="L122" s="35"/>
      <c r="M122" s="32"/>
      <c r="N122" s="36"/>
      <c r="O122" s="36"/>
      <c r="P122" s="36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</row>
    <row r="123" spans="1:53">
      <c r="A123" s="32"/>
      <c r="B123" s="32"/>
      <c r="C123" s="32"/>
      <c r="D123" s="32"/>
      <c r="E123" s="32"/>
      <c r="F123" s="32"/>
      <c r="G123" s="32"/>
      <c r="H123" s="33"/>
      <c r="I123" s="33"/>
      <c r="J123" s="198"/>
      <c r="K123" s="32"/>
      <c r="L123" s="35"/>
      <c r="M123" s="32"/>
      <c r="N123" s="36"/>
      <c r="O123" s="36"/>
      <c r="P123" s="36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</row>
    <row r="124" spans="1:53">
      <c r="H124" s="20"/>
      <c r="I124" s="21"/>
    </row>
    <row r="125" spans="1:53">
      <c r="H125" s="20"/>
      <c r="I125" s="21"/>
    </row>
    <row r="126" spans="1:53">
      <c r="H126" s="20"/>
      <c r="I126" s="21"/>
    </row>
    <row r="127" spans="1:53">
      <c r="H127" s="20"/>
      <c r="I127" s="21"/>
    </row>
    <row r="128" spans="1:53">
      <c r="H128" s="20"/>
      <c r="I128" s="21"/>
    </row>
    <row r="129" spans="8:17">
      <c r="H129" s="20"/>
      <c r="I129" s="21"/>
    </row>
    <row r="130" spans="8:17">
      <c r="H130" s="20"/>
      <c r="I130" s="21"/>
    </row>
    <row r="131" spans="8:17">
      <c r="H131" s="20"/>
      <c r="I131" s="21"/>
    </row>
    <row r="132" spans="8:17">
      <c r="H132" s="20"/>
      <c r="I132" s="21"/>
    </row>
    <row r="133" spans="8:17">
      <c r="H133" s="20"/>
      <c r="I133" s="21"/>
    </row>
    <row r="134" spans="8:17" s="130" customFormat="1" ht="12.9">
      <c r="H134" s="131"/>
      <c r="I134" s="132"/>
      <c r="J134" s="135"/>
      <c r="L134" s="133"/>
      <c r="N134" s="134"/>
      <c r="O134" s="135"/>
      <c r="P134" s="13"/>
      <c r="Q134" s="135"/>
    </row>
    <row r="135" spans="8:17">
      <c r="H135" s="21"/>
      <c r="I135" s="21"/>
    </row>
    <row r="144" spans="8:17" ht="1.5" customHeight="1">
      <c r="L144"/>
      <c r="N144"/>
    </row>
    <row r="145" spans="12:17" ht="9.65" hidden="1" customHeight="1">
      <c r="L145"/>
      <c r="N145"/>
    </row>
    <row r="146" spans="12:17" hidden="1">
      <c r="L146"/>
      <c r="N146"/>
    </row>
    <row r="147" spans="12:17" hidden="1">
      <c r="L147"/>
      <c r="N147"/>
    </row>
    <row r="148" spans="12:17" ht="10.5" hidden="1" customHeight="1">
      <c r="L148"/>
      <c r="N148"/>
      <c r="O148"/>
      <c r="Q148"/>
    </row>
    <row r="149" spans="12:17" hidden="1">
      <c r="L149"/>
      <c r="N149"/>
    </row>
    <row r="150" spans="12:17" hidden="1">
      <c r="L150"/>
      <c r="N150"/>
    </row>
    <row r="151" spans="12:17" hidden="1">
      <c r="L151"/>
      <c r="N151"/>
    </row>
    <row r="152" spans="12:17" ht="9.75" customHeight="1"/>
    <row r="155" spans="12:17" ht="10.5" customHeight="1">
      <c r="O155"/>
      <c r="P155"/>
      <c r="Q155"/>
    </row>
    <row r="163" spans="1:53">
      <c r="A163" s="32"/>
      <c r="B163" s="32"/>
      <c r="C163" s="32"/>
      <c r="D163" s="32"/>
      <c r="E163" s="32"/>
      <c r="F163" s="32"/>
      <c r="G163" s="32"/>
      <c r="H163" s="33"/>
      <c r="I163" s="33"/>
      <c r="J163" s="198"/>
      <c r="K163" s="32"/>
      <c r="L163" s="35"/>
      <c r="M163" s="32"/>
      <c r="N163" s="36"/>
      <c r="O163" s="36"/>
      <c r="P163" s="36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</row>
    <row r="166" spans="1:53" ht="15.45">
      <c r="C166" s="53" t="s">
        <v>20</v>
      </c>
      <c r="D166" s="54"/>
      <c r="E166" s="54"/>
      <c r="O166"/>
      <c r="P166"/>
      <c r="Q166"/>
    </row>
    <row r="167" spans="1:53" ht="15.45">
      <c r="C167" s="47" t="s">
        <v>21</v>
      </c>
      <c r="D167" s="54"/>
      <c r="E167" s="54"/>
      <c r="O167"/>
      <c r="P167"/>
      <c r="Q167"/>
    </row>
    <row r="168" spans="1:53" ht="15.45">
      <c r="C168" s="47" t="s">
        <v>22</v>
      </c>
      <c r="D168" s="54"/>
      <c r="E168" s="54"/>
      <c r="O168"/>
      <c r="P168"/>
      <c r="Q168"/>
    </row>
    <row r="169" spans="1:53">
      <c r="C169" s="48"/>
      <c r="D169" s="48"/>
      <c r="E169" s="48"/>
      <c r="O169"/>
      <c r="P169"/>
      <c r="Q169"/>
    </row>
    <row r="170" spans="1:53" ht="18.45">
      <c r="C170" s="55" t="s">
        <v>30</v>
      </c>
      <c r="D170" s="48"/>
      <c r="E170" s="47" t="s">
        <v>18</v>
      </c>
      <c r="F170" s="1"/>
      <c r="G170" s="1"/>
      <c r="H170" s="1"/>
      <c r="I170" s="1"/>
      <c r="O170"/>
      <c r="P170"/>
      <c r="Q170"/>
    </row>
    <row r="171" spans="1:53" ht="15.45">
      <c r="C171" s="48"/>
      <c r="D171" s="48"/>
      <c r="E171" s="47" t="s">
        <v>4</v>
      </c>
      <c r="F171" s="1"/>
      <c r="G171" s="1"/>
      <c r="H171" s="1"/>
      <c r="I171" s="1"/>
      <c r="O171"/>
      <c r="P171"/>
      <c r="Q171"/>
    </row>
    <row r="172" spans="1:53" ht="15.45">
      <c r="C172" s="48"/>
      <c r="D172" s="48"/>
      <c r="E172" s="47" t="s">
        <v>17</v>
      </c>
      <c r="F172" s="1"/>
      <c r="G172" s="1"/>
      <c r="H172" s="1"/>
      <c r="I172" s="1"/>
      <c r="O172"/>
      <c r="P172"/>
      <c r="Q172"/>
    </row>
    <row r="173" spans="1:53" ht="15.45">
      <c r="C173" s="48"/>
      <c r="D173" s="48"/>
      <c r="E173" s="47" t="s">
        <v>31</v>
      </c>
      <c r="F173" s="1"/>
      <c r="G173" s="1"/>
      <c r="H173" s="1"/>
      <c r="I173" s="1"/>
      <c r="O173"/>
      <c r="P173"/>
      <c r="Q173"/>
    </row>
    <row r="174" spans="1:53" ht="15.45">
      <c r="E174" s="1"/>
      <c r="F174" s="1"/>
      <c r="G174" s="1"/>
      <c r="H174" s="1"/>
      <c r="I174" s="1"/>
      <c r="L174"/>
      <c r="O174"/>
      <c r="P174"/>
      <c r="Q174"/>
    </row>
    <row r="175" spans="1:53" ht="15.45">
      <c r="E175" s="1"/>
      <c r="F175" s="1"/>
      <c r="G175" s="1"/>
      <c r="H175" s="1"/>
      <c r="I175" s="1"/>
      <c r="L175" s="331" t="s">
        <v>129</v>
      </c>
      <c r="O175"/>
      <c r="P175"/>
      <c r="Q175"/>
    </row>
    <row r="176" spans="1:53" ht="15.45">
      <c r="E176" s="109">
        <v>1</v>
      </c>
      <c r="F176" s="110">
        <f>+NORMDIST(-$E176,0,1,TRUE)</f>
        <v>0.15865525393145699</v>
      </c>
      <c r="H176" s="110">
        <f>+NORMDIST(+$E176,0,1,TRUE)</f>
        <v>0.84134474606854304</v>
      </c>
      <c r="I176" s="110">
        <f>+H176-F176</f>
        <v>0.68268949213708607</v>
      </c>
      <c r="L176" s="310" t="s">
        <v>117</v>
      </c>
      <c r="M176" s="332" t="s">
        <v>117</v>
      </c>
      <c r="O176"/>
      <c r="P176"/>
      <c r="Q176"/>
    </row>
    <row r="177" spans="1:53" ht="15.45">
      <c r="E177" s="1"/>
      <c r="F177" s="1"/>
      <c r="G177" s="1"/>
      <c r="H177" s="1"/>
      <c r="I177" s="1"/>
      <c r="L177" s="310" t="s">
        <v>118</v>
      </c>
      <c r="M177" s="277"/>
      <c r="O177"/>
      <c r="P177"/>
      <c r="Q177"/>
    </row>
    <row r="178" spans="1:53" ht="15.45">
      <c r="E178" s="9" t="str">
        <f>+CONCATENATE("Budgettet er med ",ROUND(I176*100,0),"% sandsynlighed mellem ",ROUND(F178*100,0)," to ",ROUND(H178*100,0)," % af Middelværdien.")</f>
        <v>Budgettet er med 68% sandsynlighed mellem 88 to 112 % af Middelværdien.</v>
      </c>
      <c r="F178" s="110">
        <f>IFERROR((GrandTotal-$E$176*GrandTotal_StDev)/GrandTotal,0)</f>
        <v>0.878950970476712</v>
      </c>
      <c r="H178" s="110">
        <f>IFERROR((GrandTotal+$E$176*GrandTotal_StDev)/GrandTotal,0)</f>
        <v>1.121049029523288</v>
      </c>
      <c r="I178" s="1"/>
      <c r="O178"/>
      <c r="P178"/>
      <c r="Q178"/>
    </row>
    <row r="180" spans="1:53">
      <c r="A180" s="32"/>
      <c r="B180" s="32"/>
      <c r="C180" s="32"/>
      <c r="D180" s="32"/>
      <c r="E180" s="32"/>
      <c r="F180" s="32"/>
      <c r="G180" s="32"/>
      <c r="H180" s="33"/>
      <c r="I180" s="33"/>
      <c r="J180" s="198"/>
      <c r="K180" s="32"/>
      <c r="L180" s="35"/>
      <c r="M180" s="32"/>
      <c r="N180" s="36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</row>
    <row r="183" spans="1:53" ht="15.45">
      <c r="D183" s="111" t="s">
        <v>128</v>
      </c>
      <c r="E183" s="112">
        <f>Project_UncertaintyShare_GeneralUncert</f>
        <v>0.74985265878479512</v>
      </c>
      <c r="F183" s="1"/>
      <c r="G183" s="138" t="str">
        <f>+CONCATENATE("P(",ROUND(D73*100,0),")")</f>
        <v>P(85)</v>
      </c>
      <c r="H183" s="1"/>
      <c r="I183" s="113" t="str">
        <f>+CONCATENATE("P(",ROUND(NORMDIST(Budget_NoStd,0,1,TRUE)*100,0),") ")</f>
        <v xml:space="preserve">P(85) </v>
      </c>
      <c r="J183" s="139" t="str">
        <f>+CONCATENATE(G183," Budget")</f>
        <v>P(85) Budget</v>
      </c>
      <c r="O183"/>
      <c r="P183"/>
      <c r="Q183"/>
    </row>
    <row r="184" spans="1:53" ht="15.45">
      <c r="D184" s="111" t="str">
        <f>+_xlfn.CONCAT("P(",C26,"):")</f>
        <v>P(Opgaver):</v>
      </c>
      <c r="E184" s="112">
        <f>+Project_UncertaintyShare_Tasks</f>
        <v>0.25014734121520477</v>
      </c>
      <c r="F184" s="1"/>
      <c r="G184" s="138" t="str">
        <f>+CONCATENATE("P(",ROUND(Data!$D$76*100,0),")")</f>
        <v>P(95)</v>
      </c>
      <c r="H184" s="1"/>
      <c r="I184" s="1"/>
      <c r="J184" s="139" t="str">
        <f>+CONCATENATE(G184," Budget")</f>
        <v>P(95) Budget</v>
      </c>
      <c r="M184" s="180"/>
      <c r="O184"/>
      <c r="P184"/>
      <c r="Q184"/>
    </row>
    <row r="185" spans="1:53" ht="15.45">
      <c r="D185" s="111"/>
      <c r="E185" s="112"/>
      <c r="F185" s="1"/>
      <c r="G185" s="138" t="s">
        <v>79</v>
      </c>
      <c r="H185" s="1"/>
      <c r="I185" s="1"/>
      <c r="J185" s="139" t="str">
        <f>+CONCATENATE(G185," Budget")</f>
        <v>P(50) Budget</v>
      </c>
      <c r="O185"/>
      <c r="P185"/>
      <c r="Q185"/>
    </row>
    <row r="186" spans="1:53" ht="15.45">
      <c r="D186" s="111"/>
      <c r="E186" s="112"/>
      <c r="F186" s="1"/>
      <c r="G186" s="138"/>
      <c r="H186" s="1"/>
      <c r="I186" s="1"/>
      <c r="J186" s="139"/>
      <c r="O186"/>
      <c r="P186"/>
      <c r="Q186"/>
    </row>
    <row r="187" spans="1:53" ht="15.45">
      <c r="D187" s="155" t="str">
        <f>$F$24</f>
        <v xml:space="preserve">Projekt-usikkerhed= </v>
      </c>
      <c r="E187" s="257">
        <f>Project_Uncertainty</f>
        <v>0.12545925596375515</v>
      </c>
      <c r="F187" s="1"/>
      <c r="G187" s="138"/>
      <c r="H187" s="1"/>
      <c r="I187" s="1"/>
      <c r="J187" s="139"/>
      <c r="O187"/>
      <c r="P187"/>
      <c r="Q187"/>
    </row>
    <row r="188" spans="1:53" ht="15.45">
      <c r="D188" s="111"/>
      <c r="E188" s="112"/>
      <c r="F188" s="1"/>
      <c r="G188" s="1"/>
      <c r="H188" s="1"/>
      <c r="I188" s="1"/>
      <c r="O188"/>
      <c r="P188"/>
      <c r="Q188"/>
    </row>
    <row r="189" spans="1:53" ht="15.45">
      <c r="D189" s="111" t="s">
        <v>59</v>
      </c>
      <c r="E189" s="1" t="str">
        <f>+CONCATENATE($D$183,"         ",ROUND($E$183*100,1),"%",CHAR(10),$D$184,"     ",ROUND($E$184*100,1),"%")</f>
        <v>P(GU'ere):         75%
P(Opgaver):     25%</v>
      </c>
      <c r="F189" s="1"/>
      <c r="G189" s="1"/>
      <c r="H189" s="1"/>
      <c r="I189" s="1"/>
      <c r="O189"/>
      <c r="P189"/>
      <c r="Q189"/>
    </row>
    <row r="190" spans="1:53" ht="15.45">
      <c r="D190" s="111" t="s">
        <v>60</v>
      </c>
      <c r="E190" s="1" t="str">
        <f>+D4</f>
        <v>Byggeprojekt - Idé oplæg.</v>
      </c>
      <c r="F190" s="1"/>
      <c r="G190" s="1"/>
      <c r="H190" s="1"/>
      <c r="I190" s="1"/>
      <c r="O190"/>
      <c r="P190"/>
      <c r="Q190"/>
    </row>
    <row r="191" spans="1:53" ht="15.45">
      <c r="D191" s="111" t="s">
        <v>82</v>
      </c>
      <c r="E191" s="1" t="str">
        <f ca="1">MID(CELL("filename",A1),FIND("[",CELL("filename",A1))+1,FIND("]", CELL("filename",A1))-FIND("[",CELL("filename",A1))-1)</f>
        <v>tidlig-kvalitetssikring-byggeprojekt_2024-11-19b.xlsx</v>
      </c>
      <c r="F191" s="1"/>
      <c r="G191" s="1"/>
      <c r="H191" s="1"/>
      <c r="I191" s="1"/>
      <c r="O191"/>
      <c r="P191"/>
      <c r="Q191"/>
    </row>
    <row r="192" spans="1:53" ht="15.45">
      <c r="D192" s="9"/>
      <c r="E192" s="1"/>
      <c r="F192" s="1"/>
      <c r="G192" s="1"/>
      <c r="H192" s="1"/>
      <c r="I192" s="1"/>
      <c r="O192"/>
      <c r="P192"/>
      <c r="Q192"/>
    </row>
    <row r="193" spans="1:53" ht="15.45">
      <c r="D193" s="111" t="s">
        <v>82</v>
      </c>
      <c r="E193" s="1" t="str">
        <f>+CONCATENATE("RESULTAT: ",CHAR(10),E197," ",G197," ",I197," ",Units," &amp; GU's = ",TEXT(Mean_GUs,"#.###,0"))</f>
        <v>RESULTAT: 
Min= 351 Middel= 503 Max= 656 Mill. &amp; GU's = 120,5</v>
      </c>
      <c r="F193" s="1"/>
      <c r="G193" s="1"/>
      <c r="H193" s="1"/>
      <c r="I193" s="1"/>
      <c r="O193"/>
      <c r="P193"/>
      <c r="Q193"/>
    </row>
    <row r="194" spans="1:53" ht="15.45">
      <c r="D194" s="111"/>
      <c r="E194" s="196">
        <f>+$D$68</f>
        <v>351.05302501934693</v>
      </c>
      <c r="F194" s="1"/>
      <c r="G194" s="196">
        <f>+$E$68</f>
        <v>503.39029029999995</v>
      </c>
      <c r="H194" s="1"/>
      <c r="I194" s="196">
        <f>+$F$68</f>
        <v>655.72755558065296</v>
      </c>
      <c r="O194"/>
      <c r="P194"/>
      <c r="Q194"/>
    </row>
    <row r="195" spans="1:53" ht="15.45">
      <c r="D195" s="111"/>
      <c r="E195" s="125">
        <f>+IF(ABS(E$194)&gt;=100,0,IF(ABS(E$194)&gt;=10,1,IF(ABS(E$194)&lt;=1,2,0)))</f>
        <v>0</v>
      </c>
      <c r="F195" s="1"/>
      <c r="G195" s="125">
        <f>+IF(ABS(G$194)&gt;=100,0,IF(ABS(G$194)&gt;=10,1,IF(ABS(G$194)&lt;=1,2,0)))</f>
        <v>0</v>
      </c>
      <c r="H195" s="1"/>
      <c r="I195" s="125">
        <f>+IF(ABS(I$194)&gt;=100,0,IF(ABS(I$194)&gt;=10,1,IF(ABS(I$194)&lt;=1,2,0)))</f>
        <v>0</v>
      </c>
      <c r="O195"/>
      <c r="P195"/>
      <c r="Q195"/>
    </row>
    <row r="196" spans="1:53" ht="15.45">
      <c r="D196" s="111"/>
      <c r="E196" s="125" t="str">
        <f>+IF(ABS(E$194)&gt;=100,"#.###",IF(ABS(E$194)&lt;=1,"#.###,#","#.###"))</f>
        <v>#.###</v>
      </c>
      <c r="F196" s="125"/>
      <c r="G196" s="125" t="str">
        <f>+IF(ABS(G$194)&gt;=100,"#.###",IF(ABS(G$194)&lt;=1,"#.###,#","#.###"))</f>
        <v>#.###</v>
      </c>
      <c r="H196" s="1"/>
      <c r="I196" s="125" t="str">
        <f>+IF(ABS(I$194)&gt;=100,"#.###",IF(ABS(I$194)&lt;=1,"#.###,#","#.###"))</f>
        <v>#.###</v>
      </c>
      <c r="O196"/>
      <c r="P196"/>
      <c r="Q196"/>
    </row>
    <row r="197" spans="1:53" ht="15.45">
      <c r="D197" s="1"/>
      <c r="E197" s="1" t="str">
        <f>+CONCATENATE("Min= ",TEXT(ROUND(E194,E195),E196))</f>
        <v>Min= 351</v>
      </c>
      <c r="G197" s="1" t="str">
        <f>+CONCATENATE("Middel= ",TEXT(ROUND(G194,G195),G196))</f>
        <v>Middel= 503</v>
      </c>
      <c r="H197" s="1"/>
      <c r="I197" s="1" t="str">
        <f>+CONCATENATE("Max= ",TEXT(ROUND(I194,I195),I196))</f>
        <v>Max= 656</v>
      </c>
      <c r="O197"/>
      <c r="P197"/>
      <c r="Q197"/>
    </row>
    <row r="198" spans="1:53" ht="15.45">
      <c r="D198" s="1"/>
      <c r="E198" s="1"/>
      <c r="G198" s="1"/>
      <c r="H198" s="1"/>
      <c r="I198" s="1"/>
      <c r="O198"/>
      <c r="P198"/>
      <c r="Q198"/>
    </row>
    <row r="199" spans="1:53" ht="15.45">
      <c r="D199" s="1"/>
      <c r="E199" s="138" t="str">
        <f>+_xlfn.CONCAT(D187," ",TEXT(E187*100,"00")," %")</f>
        <v>Projekt-usikkerhed=  13 %</v>
      </c>
      <c r="G199" s="1"/>
      <c r="H199" s="1"/>
      <c r="I199" s="1"/>
      <c r="O199"/>
      <c r="P199"/>
      <c r="Q199"/>
    </row>
    <row r="200" spans="1:53">
      <c r="A200" s="32"/>
      <c r="B200" s="32"/>
      <c r="C200" s="32"/>
      <c r="D200" s="32"/>
      <c r="E200" s="32"/>
      <c r="F200" s="32"/>
      <c r="G200" s="32"/>
      <c r="H200" s="33"/>
      <c r="I200" s="33"/>
      <c r="J200" s="198"/>
      <c r="K200" s="32"/>
      <c r="L200" s="35"/>
      <c r="M200" s="32"/>
      <c r="N200" s="36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</row>
  </sheetData>
  <sheetProtection formatRows="0"/>
  <protectedRanges>
    <protectedRange sqref="C47" name="Tasks_Text"/>
    <protectedRange sqref="E25" name="Units"/>
    <protectedRange sqref="E4:H4" name="ProjectName"/>
    <protectedRange sqref="N47 H47:L47 D33:F47" name="Område1"/>
    <protectedRange sqref="BB11:BD22" name="Område2"/>
    <protectedRange sqref="N50:N51 N28 N30:N46" name="Område3"/>
    <protectedRange sqref="N23" name="Område4"/>
    <protectedRange sqref="D50:F50" name="Område1_1"/>
    <protectedRange sqref="D27:F32" name="Område1_2"/>
    <protectedRange sqref="C33:C46" name="Tasks_Text_1_1"/>
    <protectedRange sqref="D4" name="ProjectName_1"/>
    <protectedRange sqref="D48:F49" name="Område1_3"/>
    <protectedRange sqref="D51 F51" name="Område1_4"/>
    <protectedRange sqref="A22" name="OF_Text_1"/>
    <protectedRange sqref="A27:B46" name="OF_Text_2"/>
    <protectedRange sqref="A47:B47" name="Tasks_Text_1"/>
    <protectedRange sqref="A48:B49" name="OF_Text_3"/>
    <protectedRange sqref="A50:B50" name="Tasks_Text_2_1"/>
    <protectedRange sqref="C22" name="OF_Text_4"/>
    <protectedRange sqref="N11:N22" name="Område4_1"/>
    <protectedRange sqref="C27:C32" name="Tasks_Text_1_1_1"/>
    <protectedRange sqref="N27 N29" name="Område3_1"/>
    <protectedRange sqref="C48:C49" name="Tasks_Text_3"/>
    <protectedRange sqref="C50" name="Tasks_Text_2_2"/>
    <protectedRange sqref="N48:N49" name="Område3_2"/>
    <protectedRange sqref="J73" name="StDev_2"/>
    <protectedRange sqref="M76" name="StDev_2_1"/>
    <protectedRange sqref="C11:C21" name="OF_Text_4_1"/>
    <protectedRange sqref="D11:F22" name="Område1_2_1_1"/>
    <protectedRange sqref="A11:A21" name="OF_Text_1_2"/>
    <protectedRange sqref="B22" name="OF_Text_1_2_1"/>
    <protectedRange sqref="B11:B21" name="OF_Text_1_1_1"/>
  </protectedRanges>
  <mergeCells count="1">
    <mergeCell ref="A2:C2"/>
  </mergeCells>
  <phoneticPr fontId="0" type="noConversion"/>
  <conditionalFormatting sqref="D48:D49">
    <cfRule type="cellIs" dxfId="92" priority="278" stopIfTrue="1" operator="greaterThan">
      <formula>+E48</formula>
    </cfRule>
  </conditionalFormatting>
  <conditionalFormatting sqref="D50:E50">
    <cfRule type="expression" dxfId="91" priority="318" stopIfTrue="1">
      <formula>ABS(D50)&gt;1000</formula>
    </cfRule>
    <cfRule type="expression" dxfId="90" priority="317" stopIfTrue="1">
      <formula>ABS(D50)&lt;100</formula>
    </cfRule>
    <cfRule type="expression" dxfId="89" priority="316" stopIfTrue="1">
      <formula>ABS(D50)&lt;10</formula>
    </cfRule>
  </conditionalFormatting>
  <conditionalFormatting sqref="E48:E49">
    <cfRule type="cellIs" dxfId="88" priority="279" stopIfTrue="1" operator="notBetween">
      <formula>+D48</formula>
      <formula>+F48</formula>
    </cfRule>
  </conditionalFormatting>
  <conditionalFormatting sqref="E50">
    <cfRule type="expression" dxfId="87" priority="322" stopIfTrue="1">
      <formula>ABS(E50)&lt;10</formula>
    </cfRule>
    <cfRule type="expression" dxfId="86" priority="324" stopIfTrue="1">
      <formula>ABS(E50)&gt;1000</formula>
    </cfRule>
    <cfRule type="expression" dxfId="85" priority="323" stopIfTrue="1">
      <formula>ABS(E50)&lt;100</formula>
    </cfRule>
  </conditionalFormatting>
  <conditionalFormatting sqref="F48:F49">
    <cfRule type="cellIs" dxfId="84" priority="277" stopIfTrue="1" operator="lessThan">
      <formula>+E48</formula>
    </cfRule>
  </conditionalFormatting>
  <conditionalFormatting sqref="F50">
    <cfRule type="expression" dxfId="83" priority="253" stopIfTrue="1">
      <formula>ABS(F50)&lt;10</formula>
    </cfRule>
    <cfRule type="expression" dxfId="82" priority="254" stopIfTrue="1">
      <formula>ABS(F50)&lt;100</formula>
    </cfRule>
    <cfRule type="expression" dxfId="81" priority="255" stopIfTrue="1">
      <formula>ABS(F50)&gt;1000</formula>
    </cfRule>
    <cfRule type="expression" dxfId="80" priority="256" stopIfTrue="1">
      <formula>ABS(F50)&lt;10</formula>
    </cfRule>
    <cfRule type="expression" dxfId="79" priority="257" stopIfTrue="1">
      <formula>ABS(F50)&lt;100</formula>
    </cfRule>
    <cfRule type="expression" dxfId="78" priority="258" stopIfTrue="1">
      <formula>ABS(F50)&gt;1000</formula>
    </cfRule>
  </conditionalFormatting>
  <conditionalFormatting sqref="H11:H22">
    <cfRule type="expression" dxfId="77" priority="291">
      <formula>H11&lt;0</formula>
    </cfRule>
    <cfRule type="expression" dxfId="76" priority="292">
      <formula>H11&gt;0</formula>
    </cfRule>
  </conditionalFormatting>
  <conditionalFormatting sqref="H48:H50">
    <cfRule type="expression" dxfId="75" priority="604" stopIfTrue="1">
      <formula>ABS(H48)&lt;10</formula>
    </cfRule>
    <cfRule type="expression" dxfId="74" priority="606" stopIfTrue="1">
      <formula>ABS(H48)&gt;1000</formula>
    </cfRule>
    <cfRule type="expression" dxfId="73" priority="605" stopIfTrue="1">
      <formula>ABS(H48)&lt;100</formula>
    </cfRule>
  </conditionalFormatting>
  <conditionalFormatting sqref="H48:I48">
    <cfRule type="expression" dxfId="72" priority="612" stopIfTrue="1">
      <formula>ABS(H48)&gt;1000</formula>
    </cfRule>
    <cfRule type="expression" dxfId="71" priority="610" stopIfTrue="1">
      <formula>ABS(H48)&lt;10</formula>
    </cfRule>
    <cfRule type="expression" dxfId="70" priority="611" stopIfTrue="1">
      <formula>ABS(H48)&lt;100</formula>
    </cfRule>
  </conditionalFormatting>
  <conditionalFormatting sqref="H49:I50">
    <cfRule type="expression" dxfId="69" priority="598" stopIfTrue="1">
      <formula>ABS(H49)&lt;10</formula>
    </cfRule>
    <cfRule type="expression" dxfId="68" priority="599" stopIfTrue="1">
      <formula>ABS(H49)&lt;100</formula>
    </cfRule>
    <cfRule type="expression" dxfId="67" priority="600" stopIfTrue="1">
      <formula>ABS(H49)&gt;1000</formula>
    </cfRule>
  </conditionalFormatting>
  <conditionalFormatting sqref="I8">
    <cfRule type="expression" dxfId="66" priority="218" stopIfTrue="1">
      <formula>ABS(I8)&lt;100</formula>
    </cfRule>
    <cfRule type="expression" dxfId="65" priority="219" stopIfTrue="1">
      <formula>ABS(I8)&gt;1000</formula>
    </cfRule>
    <cfRule type="expression" dxfId="64" priority="220" stopIfTrue="1">
      <formula>ABS(I8)&lt;10</formula>
    </cfRule>
    <cfRule type="expression" dxfId="63" priority="221" stopIfTrue="1">
      <formula>ABS(I8)&lt;100</formula>
    </cfRule>
    <cfRule type="expression" dxfId="62" priority="222" stopIfTrue="1">
      <formula>ABS(I8)&gt;1000</formula>
    </cfRule>
    <cfRule type="expression" dxfId="61" priority="217" stopIfTrue="1">
      <formula>ABS(I8)&lt;10</formula>
    </cfRule>
  </conditionalFormatting>
  <conditionalFormatting sqref="I27:I46">
    <cfRule type="expression" dxfId="60" priority="1551" stopIfTrue="1">
      <formula>ABS(I27)&lt;10</formula>
    </cfRule>
    <cfRule type="expression" dxfId="59" priority="1552" stopIfTrue="1">
      <formula>ABS(I27)&lt;100</formula>
    </cfRule>
    <cfRule type="expression" dxfId="58" priority="1553" stopIfTrue="1">
      <formula>ABS(I27)&gt;1000</formula>
    </cfRule>
    <cfRule type="expression" dxfId="57" priority="1557" stopIfTrue="1">
      <formula>ABS(I27)&lt;10</formula>
    </cfRule>
    <cfRule type="expression" dxfId="56" priority="1558" stopIfTrue="1">
      <formula>ABS(I27)&lt;100</formula>
    </cfRule>
    <cfRule type="expression" dxfId="55" priority="1559" stopIfTrue="1">
      <formula>ABS(I27)&gt;1000</formula>
    </cfRule>
  </conditionalFormatting>
  <conditionalFormatting sqref="I48">
    <cfRule type="expression" dxfId="54" priority="618" stopIfTrue="1">
      <formula>ABS(I48)&gt;1000</formula>
    </cfRule>
    <cfRule type="expression" dxfId="53" priority="617" stopIfTrue="1">
      <formula>ABS(I48)&lt;100</formula>
    </cfRule>
    <cfRule type="expression" dxfId="52" priority="616" stopIfTrue="1">
      <formula>ABS(I48)&lt;10</formula>
    </cfRule>
  </conditionalFormatting>
  <conditionalFormatting sqref="I49:I50">
    <cfRule type="expression" dxfId="51" priority="332" stopIfTrue="1">
      <formula>ABS(I49)&lt;100</formula>
    </cfRule>
    <cfRule type="expression" dxfId="50" priority="333" stopIfTrue="1">
      <formula>ABS(I49)&gt;1000</formula>
    </cfRule>
    <cfRule type="expression" dxfId="49" priority="331" stopIfTrue="1">
      <formula>ABS(I49)&lt;10</formula>
    </cfRule>
  </conditionalFormatting>
  <conditionalFormatting sqref="J68">
    <cfRule type="expression" dxfId="48" priority="1094" stopIfTrue="1">
      <formula>ABS(J68)&lt;100</formula>
    </cfRule>
    <cfRule type="expression" dxfId="47" priority="1095" stopIfTrue="1">
      <formula>ABS(J68)&gt;1000</formula>
    </cfRule>
    <cfRule type="expression" dxfId="46" priority="1093" stopIfTrue="1">
      <formula>ABS(J68)&lt;10</formula>
    </cfRule>
  </conditionalFormatting>
  <conditionalFormatting sqref="J68:K68">
    <cfRule type="expression" dxfId="45" priority="1087" stopIfTrue="1">
      <formula>ABS(J68)&lt;10</formula>
    </cfRule>
    <cfRule type="expression" dxfId="44" priority="1088" stopIfTrue="1">
      <formula>ABS(J68)&lt;100</formula>
    </cfRule>
    <cfRule type="expression" dxfId="43" priority="1089" stopIfTrue="1">
      <formula>ABS(J68)&gt;1000</formula>
    </cfRule>
  </conditionalFormatting>
  <conditionalFormatting sqref="K11:K23 D50">
    <cfRule type="expression" dxfId="42" priority="315" stopIfTrue="1">
      <formula>ABS(D11)&gt;1000</formula>
    </cfRule>
    <cfRule type="expression" dxfId="41" priority="314" stopIfTrue="1">
      <formula>ABS(D11)&lt;100</formula>
    </cfRule>
    <cfRule type="expression" dxfId="40" priority="313" stopIfTrue="1">
      <formula>ABS(D11)&lt;10</formula>
    </cfRule>
  </conditionalFormatting>
  <conditionalFormatting sqref="K11:K23">
    <cfRule type="expression" dxfId="39" priority="1404" stopIfTrue="1">
      <formula>ABS(K11)&lt;10</formula>
    </cfRule>
    <cfRule type="expression" dxfId="38" priority="1405" stopIfTrue="1">
      <formula>ABS(K11)&lt;100</formula>
    </cfRule>
    <cfRule type="expression" dxfId="37" priority="1406" stopIfTrue="1">
      <formula>ABS(K11)&gt;1000</formula>
    </cfRule>
  </conditionalFormatting>
  <conditionalFormatting sqref="K27:K46">
    <cfRule type="expression" dxfId="36" priority="1546" stopIfTrue="1">
      <formula>ABS(K27)&lt;100</formula>
    </cfRule>
    <cfRule type="expression" dxfId="35" priority="1545" stopIfTrue="1">
      <formula>ABS(K27)&lt;10</formula>
    </cfRule>
    <cfRule type="expression" dxfId="34" priority="1544" stopIfTrue="1">
      <formula>ABS(K27)&gt;1000</formula>
    </cfRule>
    <cfRule type="expression" dxfId="33" priority="1543" stopIfTrue="1">
      <formula>ABS(K27)&lt;100</formula>
    </cfRule>
    <cfRule type="expression" dxfId="32" priority="1542" stopIfTrue="1">
      <formula>ABS(K27)&lt;10</formula>
    </cfRule>
    <cfRule type="expression" dxfId="31" priority="1547" stopIfTrue="1">
      <formula>ABS(K27)&gt;1000</formula>
    </cfRule>
  </conditionalFormatting>
  <conditionalFormatting sqref="K49:K50">
    <cfRule type="expression" dxfId="30" priority="628" stopIfTrue="1">
      <formula>ABS(K49)&lt;10</formula>
    </cfRule>
    <cfRule type="expression" dxfId="29" priority="629" stopIfTrue="1">
      <formula>ABS(K49)&lt;100</formula>
    </cfRule>
    <cfRule type="expression" dxfId="28" priority="630" stopIfTrue="1">
      <formula>ABS(K49)&gt;1000</formula>
    </cfRule>
  </conditionalFormatting>
  <conditionalFormatting sqref="K52">
    <cfRule type="expression" dxfId="27" priority="1690" stopIfTrue="1">
      <formula>ABS(K52)&lt;10</formula>
    </cfRule>
    <cfRule type="expression" dxfId="26" priority="1691" stopIfTrue="1">
      <formula>ABS(K52)&lt;100</formula>
    </cfRule>
    <cfRule type="expression" dxfId="25" priority="1692" stopIfTrue="1">
      <formula>ABS(K52)&gt;1000</formula>
    </cfRule>
  </conditionalFormatting>
  <conditionalFormatting sqref="K68">
    <cfRule type="expression" dxfId="24" priority="1084" stopIfTrue="1">
      <formula>ABS(K68)&lt;10</formula>
    </cfRule>
    <cfRule type="expression" dxfId="23" priority="1085" stopIfTrue="1">
      <formula>ABS(K68)&lt;100</formula>
    </cfRule>
    <cfRule type="expression" dxfId="22" priority="1086" stopIfTrue="1">
      <formula>ABS(K68)&gt;1000</formula>
    </cfRule>
  </conditionalFormatting>
  <conditionalFormatting sqref="K48:L48">
    <cfRule type="expression" dxfId="21" priority="619" stopIfTrue="1">
      <formula>ABS(K48)&lt;10</formula>
    </cfRule>
    <cfRule type="expression" dxfId="20" priority="620" stopIfTrue="1">
      <formula>ABS(K48)&lt;100</formula>
    </cfRule>
    <cfRule type="expression" dxfId="19" priority="621" stopIfTrue="1">
      <formula>ABS(K48)&gt;1000</formula>
    </cfRule>
  </conditionalFormatting>
  <conditionalFormatting sqref="K48:L49">
    <cfRule type="expression" dxfId="18" priority="624" stopIfTrue="1">
      <formula>ABS(K48)&gt;1000</formula>
    </cfRule>
    <cfRule type="expression" dxfId="17" priority="623" stopIfTrue="1">
      <formula>ABS(K48)&lt;100</formula>
    </cfRule>
    <cfRule type="expression" dxfId="16" priority="622" stopIfTrue="1">
      <formula>ABS(K48)&lt;10</formula>
    </cfRule>
  </conditionalFormatting>
  <conditionalFormatting sqref="L11:L23 L27:L46 L50 L52">
    <cfRule type="expression" dxfId="15" priority="2002" stopIfTrue="1">
      <formula>L11&gt;=$O$7</formula>
    </cfRule>
    <cfRule type="expression" dxfId="14" priority="1999" stopIfTrue="1">
      <formula>L11&lt;$O$7</formula>
    </cfRule>
    <cfRule type="expression" dxfId="13" priority="2000" stopIfTrue="1">
      <formula>L11&gt;=$O$5</formula>
    </cfRule>
    <cfRule type="expression" dxfId="12" priority="2001" stopIfTrue="1">
      <formula>L11&gt;=$O$6</formula>
    </cfRule>
  </conditionalFormatting>
  <conditionalFormatting sqref="L49">
    <cfRule type="expression" dxfId="11" priority="1440" stopIfTrue="1">
      <formula>ABS(L49)&lt;10</formula>
    </cfRule>
    <cfRule type="expression" dxfId="10" priority="1441" stopIfTrue="1">
      <formula>ABS(L49)&lt;100</formula>
    </cfRule>
    <cfRule type="expression" dxfId="9" priority="1442" stopIfTrue="1">
      <formula>ABS(L49)&gt;1000</formula>
    </cfRule>
  </conditionalFormatting>
  <conditionalFormatting sqref="BF12:BF22">
    <cfRule type="expression" dxfId="8" priority="251" stopIfTrue="1">
      <formula>ABS(BF12)&lt;100</formula>
    </cfRule>
    <cfRule type="expression" dxfId="7" priority="250" stopIfTrue="1">
      <formula>ABS(BF12)&lt;10</formula>
    </cfRule>
    <cfRule type="expression" dxfId="6" priority="252" stopIfTrue="1">
      <formula>ABS(BF12)&gt;1000</formula>
    </cfRule>
  </conditionalFormatting>
  <conditionalFormatting sqref="BF12:BF23">
    <cfRule type="expression" dxfId="5" priority="246" stopIfTrue="1">
      <formula>ABS(BF12)&gt;1000</formula>
    </cfRule>
    <cfRule type="expression" dxfId="4" priority="245" stopIfTrue="1">
      <formula>ABS(BF12)&lt;100</formula>
    </cfRule>
    <cfRule type="expression" dxfId="3" priority="244" stopIfTrue="1">
      <formula>ABS(BF12)&lt;10</formula>
    </cfRule>
  </conditionalFormatting>
  <conditionalFormatting sqref="BF23">
    <cfRule type="expression" dxfId="2" priority="243" stopIfTrue="1">
      <formula>ABS(BF23)&gt;1000</formula>
    </cfRule>
    <cfRule type="expression" dxfId="1" priority="242" stopIfTrue="1">
      <formula>ABS(BF23)&lt;100</formula>
    </cfRule>
    <cfRule type="expression" dxfId="0" priority="241" stopIfTrue="1">
      <formula>ABS(BF23)&lt;10</formula>
    </cfRule>
  </conditionalFormatting>
  <dataValidations count="6">
    <dataValidation type="decimal" allowBlank="1" showInputMessage="1" showErrorMessage="1" error="Please try again_x000a_Must bi in range of -3,0 to +3,0" sqref="J73 M76" xr:uid="{BE5F562B-DEA6-401A-AC6E-06A33DCF6D8B}">
      <formula1>StdvMin</formula1>
      <formula2>StdvMax</formula2>
    </dataValidation>
    <dataValidation type="decimal" allowBlank="1" showInputMessage="1" showErrorMessage="1" error="Must be between 0 and 100%_x000a_   0%: Not critical at all_x000a_  50%: Medium critical_x000a_100%: Full criticality" sqref="J50 J11:J22 J27:J46" xr:uid="{00000000-0002-0000-0100-000004000000}">
      <formula1>0</formula1>
      <formula2>1</formula2>
    </dataValidation>
    <dataValidation allowBlank="1" showInputMessage="1" showErrorMessage="1" error="0 - 200%" sqref="BB11:BD22" xr:uid="{D4C043F1-EDCD-4145-B023-03E3B5EBB165}"/>
    <dataValidation type="whole" allowBlank="1" showInputMessage="1" showErrorMessage="1" error="0: TF excluded_x000a_1: TF included" sqref="M69" xr:uid="{C7340356-4E57-408B-A86A-EC58F2E7F60E}">
      <formula1>0</formula1>
      <formula2>1</formula2>
    </dataValidation>
    <dataValidation type="list" allowBlank="1" showInputMessage="1" showErrorMessage="1" error="Choosen 1, 2 or 3" sqref="H81" xr:uid="{499CB7AC-E259-4528-8774-042430D56AAD}">
      <formula1>$D$81:$F$81</formula1>
    </dataValidation>
    <dataValidation type="list" allowBlank="1" showInputMessage="1" showErrorMessage="1" sqref="BR3" xr:uid="{DC144942-E290-4820-9D53-2F9531B4BCBD}">
      <formula1>$BJ$2:$BM$2</formula1>
    </dataValidation>
  </dataValidations>
  <pageMargins left="0.59055118110236227" right="0.23622047244094491" top="0.78740157480314965" bottom="0.6692913385826772" header="0.35433070866141736" footer="0.27559055118110237"/>
  <pageSetup paperSize="9" scale="60" orientation="landscape" horizontalDpi="4294967293" verticalDpi="96" r:id="rId1"/>
  <headerFooter alignWithMargins="0">
    <oddHeader>&amp;LUsikkerhedsanalyser&amp;CTidlig Kvalitetssikring - Robuste Budgetter &amp; Planer&amp;R&amp;G</oddHeader>
    <oddFooter>&amp;LDato: &amp;D
Fil: &amp;F&amp;C&amp;A&amp;RSide &amp;P/&amp;N</oddFooter>
  </headerFooter>
  <rowBreaks count="2" manualBreakCount="2">
    <brk id="54" max="13" man="1"/>
    <brk id="122" max="13" man="1"/>
  </rowBreaks>
  <drawing r:id="rId2"/>
  <legacy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S30"/>
  <sheetViews>
    <sheetView zoomScale="75" workbookViewId="0">
      <pane ySplit="5" topLeftCell="A6" activePane="bottomLeft" state="frozen"/>
      <selection pane="bottomLeft" activeCell="E29" sqref="E29"/>
    </sheetView>
  </sheetViews>
  <sheetFormatPr defaultColWidth="9.07421875" defaultRowHeight="14.15"/>
  <cols>
    <col min="1" max="1" width="10.07421875" style="141" customWidth="1"/>
    <col min="2" max="2" width="8.53515625" style="142" customWidth="1"/>
    <col min="3" max="3" width="11.3046875" style="142" customWidth="1"/>
    <col min="4" max="4" width="18.69140625" style="142" customWidth="1"/>
    <col min="5" max="5" width="9.3046875" style="141" bestFit="1" customWidth="1"/>
    <col min="6" max="6" width="9.53515625" style="141" bestFit="1" customWidth="1"/>
    <col min="7" max="7" width="13.23046875" style="141" customWidth="1"/>
    <col min="8" max="8" width="9.4609375" style="141" customWidth="1"/>
    <col min="9" max="9" width="10.53515625" style="141" bestFit="1" customWidth="1"/>
    <col min="10" max="10" width="10.07421875" style="141" customWidth="1"/>
    <col min="11" max="11" width="9.3046875" style="141" bestFit="1" customWidth="1"/>
    <col min="12" max="12" width="10.4609375" style="141" customWidth="1"/>
    <col min="13" max="13" width="11.84375" style="141" customWidth="1"/>
    <col min="14" max="14" width="12.3046875" style="141" customWidth="1"/>
    <col min="15" max="16" width="9.3046875" style="141" bestFit="1" customWidth="1"/>
    <col min="17" max="17" width="9.3046875" style="23" bestFit="1" customWidth="1"/>
    <col min="18" max="18" width="13.84375" style="23" bestFit="1" customWidth="1"/>
    <col min="19" max="16384" width="9.07421875" style="23"/>
  </cols>
  <sheetData>
    <row r="1" spans="1:19" s="25" customFormat="1">
      <c r="A1" s="141"/>
      <c r="B1" s="142"/>
      <c r="C1" s="142"/>
      <c r="D1" s="142"/>
      <c r="E1" s="141"/>
      <c r="F1" s="143" t="s">
        <v>10</v>
      </c>
      <c r="G1" s="143" t="s">
        <v>11</v>
      </c>
      <c r="H1" s="143" t="s">
        <v>12</v>
      </c>
      <c r="I1" s="143" t="s">
        <v>13</v>
      </c>
      <c r="J1" s="141"/>
      <c r="K1" s="143" t="s">
        <v>24</v>
      </c>
      <c r="L1" s="143" t="s">
        <v>25</v>
      </c>
      <c r="M1" s="143" t="s">
        <v>24</v>
      </c>
      <c r="N1" s="143" t="s">
        <v>25</v>
      </c>
      <c r="O1" s="141"/>
      <c r="P1" s="143" t="s">
        <v>71</v>
      </c>
      <c r="Q1" s="143" t="s">
        <v>72</v>
      </c>
      <c r="R1" s="143" t="s">
        <v>73</v>
      </c>
      <c r="S1" s="143" t="s">
        <v>74</v>
      </c>
    </row>
    <row r="2" spans="1:19" s="25" customFormat="1">
      <c r="A2" s="141"/>
      <c r="B2" s="142"/>
      <c r="C2" s="144">
        <f>Data!$J$73</f>
        <v>1.0364333894937898</v>
      </c>
      <c r="D2" s="142"/>
      <c r="E2" s="141"/>
      <c r="F2" s="141">
        <f>GrandTotal</f>
        <v>503.39029029999995</v>
      </c>
      <c r="G2" s="158">
        <v>0</v>
      </c>
      <c r="H2" s="141">
        <v>0</v>
      </c>
      <c r="I2" s="158">
        <v>0.5</v>
      </c>
      <c r="J2" s="141"/>
      <c r="K2" s="141">
        <v>0</v>
      </c>
      <c r="L2" s="158">
        <f>+$L$3</f>
        <v>0.85</v>
      </c>
      <c r="M2" s="141">
        <f>+$K$3</f>
        <v>566.54526158041665</v>
      </c>
      <c r="N2" s="158">
        <v>0</v>
      </c>
      <c r="O2" s="141"/>
      <c r="P2" s="141">
        <v>0</v>
      </c>
      <c r="Q2" s="191">
        <f>+Data!$D$76</f>
        <v>0.95</v>
      </c>
      <c r="R2" s="157">
        <f>+$P$3</f>
        <v>603.61929162670015</v>
      </c>
      <c r="S2" s="158">
        <v>0</v>
      </c>
    </row>
    <row r="3" spans="1:19" s="25" customFormat="1">
      <c r="A3" s="141"/>
      <c r="B3" s="142">
        <v>-3</v>
      </c>
      <c r="C3" s="142"/>
      <c r="D3" s="142" t="s">
        <v>6</v>
      </c>
      <c r="E3" s="141"/>
      <c r="F3" s="141">
        <f>GrandTotal</f>
        <v>503.39029029999995</v>
      </c>
      <c r="G3" s="158">
        <v>0.5</v>
      </c>
      <c r="H3" s="142">
        <f>+F2</f>
        <v>503.39029029999995</v>
      </c>
      <c r="I3" s="158">
        <v>0.5</v>
      </c>
      <c r="J3" s="141"/>
      <c r="K3" s="189">
        <f>+_xlfn.NORM.INV($L$2,GrandTotal,GrandTotal_StDev)</f>
        <v>566.54526158041665</v>
      </c>
      <c r="L3" s="191">
        <f>Data!$D$73</f>
        <v>0.85</v>
      </c>
      <c r="M3" s="141">
        <f>+$K$3</f>
        <v>566.54526158041665</v>
      </c>
      <c r="N3" s="158">
        <f>+$L$3</f>
        <v>0.85</v>
      </c>
      <c r="O3" s="141"/>
      <c r="P3" s="189">
        <f>+_xlfn.NORM.INV($Q$2,GrandTotal,GrandTotal_StDev)</f>
        <v>603.61929162670015</v>
      </c>
      <c r="Q3" s="158">
        <f>+Q2</f>
        <v>0.95</v>
      </c>
      <c r="R3" s="157">
        <f>+R2</f>
        <v>603.61929162670015</v>
      </c>
      <c r="S3" s="158">
        <f>+$Q$3</f>
        <v>0.95</v>
      </c>
    </row>
    <row r="4" spans="1:19" s="25" customFormat="1">
      <c r="A4" s="141"/>
      <c r="B4" s="142">
        <v>0.5</v>
      </c>
      <c r="C4" s="142"/>
      <c r="D4" s="142" t="s">
        <v>7</v>
      </c>
      <c r="E4" s="141"/>
      <c r="F4" s="141"/>
      <c r="G4" s="141"/>
      <c r="H4" s="141"/>
      <c r="I4" s="141"/>
      <c r="J4" s="141"/>
      <c r="K4" s="141" t="s">
        <v>14</v>
      </c>
      <c r="L4" s="141"/>
      <c r="M4" s="141"/>
      <c r="N4" s="141"/>
      <c r="O4" s="141"/>
      <c r="P4" s="141"/>
      <c r="Q4" s="30"/>
      <c r="R4" s="30"/>
    </row>
    <row r="5" spans="1:19" s="25" customFormat="1">
      <c r="A5" s="141"/>
      <c r="B5" s="145">
        <f>+GrandTotal_StDev</f>
        <v>60.934906112261196</v>
      </c>
      <c r="C5" s="142"/>
      <c r="D5" s="142" t="s">
        <v>8</v>
      </c>
      <c r="E5" s="141"/>
      <c r="F5" s="141" t="s">
        <v>9</v>
      </c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30"/>
      <c r="R5" s="30"/>
    </row>
    <row r="6" spans="1:19" s="25" customFormat="1">
      <c r="A6" s="141"/>
      <c r="B6" s="145"/>
      <c r="C6" s="142"/>
      <c r="D6" s="142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30"/>
      <c r="R6" s="30"/>
    </row>
    <row r="7" spans="1:19" s="25" customFormat="1">
      <c r="A7" s="141" t="s">
        <v>23</v>
      </c>
      <c r="B7" s="142"/>
      <c r="C7" s="146">
        <f>+Data!$J$73+0.00001</f>
        <v>1.0364433894937899</v>
      </c>
      <c r="D7" s="250">
        <f>+_xlfn.NORM.DIST(C7,0,1,TRUE)</f>
        <v>0.85000233157566996</v>
      </c>
      <c r="E7" s="141"/>
      <c r="F7" s="141" t="s">
        <v>26</v>
      </c>
      <c r="G7" s="141"/>
      <c r="H7" s="141"/>
      <c r="I7" s="141"/>
      <c r="J7" s="141"/>
      <c r="K7" s="141"/>
      <c r="L7" s="141"/>
      <c r="M7" s="141"/>
      <c r="N7" s="141"/>
      <c r="O7" s="141"/>
      <c r="P7" s="190">
        <f>Data!$D$76</f>
        <v>0.95</v>
      </c>
      <c r="Q7" s="30"/>
      <c r="R7" s="30"/>
    </row>
    <row r="8" spans="1:19" s="25" customFormat="1">
      <c r="A8" s="141"/>
      <c r="B8" s="142"/>
      <c r="C8" s="148"/>
      <c r="D8" s="250"/>
      <c r="E8" s="141"/>
      <c r="F8" s="141"/>
      <c r="G8" s="141"/>
      <c r="H8" s="141"/>
      <c r="I8" s="141"/>
      <c r="J8" s="141"/>
      <c r="K8" s="190">
        <v>0.85</v>
      </c>
      <c r="L8" s="252">
        <f>+_xlfn.NORM.INV($K$8,GrandTotal,GrandTotal_StDev)</f>
        <v>566.54526158041665</v>
      </c>
      <c r="M8" s="141"/>
      <c r="N8" s="141"/>
      <c r="O8" s="141"/>
      <c r="P8" s="141"/>
      <c r="Q8" s="30"/>
      <c r="R8" s="30"/>
    </row>
    <row r="9" spans="1:19" s="25" customFormat="1">
      <c r="A9" s="149" t="str">
        <f>+A7</f>
        <v>Search probability</v>
      </c>
      <c r="B9" s="142"/>
      <c r="C9" s="146">
        <v>2.5000100000000001</v>
      </c>
      <c r="D9" s="251">
        <f>+_xlfn.NORM.DIST(C9,0,1,TRUE)</f>
        <v>0.99379050995503782</v>
      </c>
      <c r="E9" s="141"/>
      <c r="F9" s="141"/>
      <c r="G9" s="141"/>
      <c r="H9" s="141"/>
      <c r="I9" s="141"/>
      <c r="J9" s="141"/>
      <c r="K9" s="190">
        <v>0.5</v>
      </c>
      <c r="L9" s="252">
        <f>+_xlfn.NORM.INV($K$9,GrandTotal,GrandTotal_StDev)</f>
        <v>503.39029029999995</v>
      </c>
      <c r="M9" s="141"/>
      <c r="N9" s="141"/>
      <c r="O9" s="141"/>
      <c r="P9" s="141"/>
      <c r="Q9" s="30"/>
      <c r="R9" s="30"/>
    </row>
    <row r="10" spans="1:19" s="25" customFormat="1">
      <c r="A10" s="149" t="str">
        <f>+A7</f>
        <v>Search probability</v>
      </c>
      <c r="B10" s="142"/>
      <c r="C10" s="146">
        <v>-2.4999899999999999</v>
      </c>
      <c r="D10" s="251">
        <f>+_xlfn.NORM.DIST(C10,0,1,TRUE)</f>
        <v>6.2098406109721248E-3</v>
      </c>
      <c r="E10" s="141"/>
      <c r="F10" s="141"/>
      <c r="G10" s="141"/>
      <c r="H10" s="141"/>
      <c r="I10" s="141"/>
      <c r="J10" s="141"/>
      <c r="K10" s="142" t="s">
        <v>99</v>
      </c>
      <c r="L10" s="253">
        <f>+IFERROR((L8-L9)/L9,0%)</f>
        <v>0.12545925596375515</v>
      </c>
      <c r="M10" s="141"/>
      <c r="N10" s="141"/>
      <c r="O10" s="141"/>
      <c r="P10" s="141"/>
      <c r="Q10" s="30"/>
      <c r="R10" s="30"/>
    </row>
    <row r="11" spans="1:19" s="25" customFormat="1">
      <c r="A11" s="149" t="s">
        <v>27</v>
      </c>
      <c r="B11" s="142"/>
      <c r="C11" s="146">
        <f>+C9-C10</f>
        <v>5</v>
      </c>
      <c r="D11" s="250">
        <f>+D9-D10</f>
        <v>0.98758066934406574</v>
      </c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30"/>
      <c r="R11" s="30"/>
    </row>
    <row r="12" spans="1:19" s="25" customFormat="1">
      <c r="A12" s="149"/>
      <c r="B12" s="142"/>
      <c r="C12" s="146"/>
      <c r="D12" s="150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30"/>
      <c r="R12" s="30"/>
    </row>
    <row r="13" spans="1:19" s="25" customFormat="1">
      <c r="A13" s="141" t="s">
        <v>28</v>
      </c>
      <c r="B13" s="142"/>
      <c r="C13" s="142"/>
      <c r="D13" s="142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30"/>
      <c r="R13" s="30"/>
    </row>
    <row r="14" spans="1:19" s="25" customFormat="1">
      <c r="A14" s="141"/>
      <c r="B14" s="142" t="s">
        <v>29</v>
      </c>
      <c r="C14" s="142"/>
      <c r="D14" s="143" t="s">
        <v>15</v>
      </c>
      <c r="E14" s="147" t="s">
        <v>35</v>
      </c>
      <c r="F14" s="143" t="s">
        <v>16</v>
      </c>
      <c r="G14" s="143" t="s">
        <v>15</v>
      </c>
      <c r="H14" s="147" t="s">
        <v>35</v>
      </c>
      <c r="I14" s="141"/>
      <c r="J14" s="143"/>
      <c r="K14" s="141"/>
      <c r="L14" s="143"/>
      <c r="M14" s="143"/>
      <c r="N14" s="143"/>
      <c r="O14" s="141"/>
      <c r="P14" s="143"/>
      <c r="Q14" s="31"/>
      <c r="R14" s="31"/>
    </row>
    <row r="15" spans="1:19" s="25" customFormat="1">
      <c r="A15" s="141"/>
      <c r="B15" s="144">
        <f>+B3</f>
        <v>-3</v>
      </c>
      <c r="C15" s="144">
        <f>+IF(ABS(B15)&gt;0.001,B15,0)</f>
        <v>-3</v>
      </c>
      <c r="D15" s="142">
        <f t="shared" ref="D15:D27" si="0">+GrandTotal+C15*GrandTotal_StDev</f>
        <v>320.58557196321635</v>
      </c>
      <c r="E15" s="148">
        <v>1</v>
      </c>
      <c r="F15" s="185">
        <f t="shared" ref="F15:F27" si="1">+NORMDIST($D15,GrandTotal,GrandTotal_StDev,TRUE)</f>
        <v>1.3498980316300933E-3</v>
      </c>
      <c r="G15" s="187">
        <f>+D15</f>
        <v>320.58557196321635</v>
      </c>
      <c r="H15" s="148">
        <v>1</v>
      </c>
      <c r="I15" s="141"/>
      <c r="J15" s="141"/>
      <c r="K15" s="141"/>
      <c r="L15" s="141"/>
      <c r="M15" s="141"/>
      <c r="N15" s="141"/>
      <c r="O15" s="141"/>
      <c r="P15" s="151"/>
      <c r="Q15" s="30"/>
      <c r="R15" s="30"/>
    </row>
    <row r="16" spans="1:19" s="25" customFormat="1">
      <c r="A16" s="141"/>
      <c r="B16" s="142">
        <f>+B15+$B$4</f>
        <v>-2.5</v>
      </c>
      <c r="C16" s="144">
        <f t="shared" ref="C16:C27" si="2">+IF(ABS(B16)&gt;0.001,B16,0)</f>
        <v>-2.5</v>
      </c>
      <c r="D16" s="142">
        <f t="shared" si="0"/>
        <v>351.05302501934693</v>
      </c>
      <c r="E16" s="148">
        <f>+E15+1</f>
        <v>2</v>
      </c>
      <c r="F16" s="185">
        <f t="shared" si="1"/>
        <v>6.2096653257761236E-3</v>
      </c>
      <c r="G16" s="187">
        <f t="shared" ref="G16:G27" si="3">+D16</f>
        <v>351.05302501934693</v>
      </c>
      <c r="H16" s="148">
        <f>+H15+1</f>
        <v>2</v>
      </c>
      <c r="I16" s="141"/>
      <c r="J16" s="141"/>
      <c r="K16" s="141"/>
      <c r="L16" s="141"/>
      <c r="M16" s="141"/>
      <c r="N16" s="141"/>
      <c r="O16" s="141"/>
      <c r="P16" s="151"/>
      <c r="Q16" s="30"/>
      <c r="R16" s="30"/>
    </row>
    <row r="17" spans="1:18" s="25" customFormat="1">
      <c r="A17" s="141"/>
      <c r="B17" s="142">
        <f t="shared" ref="B17:B27" si="4">+B16+$B$4</f>
        <v>-2</v>
      </c>
      <c r="C17" s="144">
        <f t="shared" si="2"/>
        <v>-2</v>
      </c>
      <c r="D17" s="142">
        <f t="shared" si="0"/>
        <v>381.52047807547757</v>
      </c>
      <c r="E17" s="148">
        <f t="shared" ref="E17:E27" si="5">+E16+1</f>
        <v>3</v>
      </c>
      <c r="F17" s="185">
        <f t="shared" si="1"/>
        <v>2.2750131948179219E-2</v>
      </c>
      <c r="G17" s="187">
        <f t="shared" si="3"/>
        <v>381.52047807547757</v>
      </c>
      <c r="H17" s="148">
        <f t="shared" ref="H17:H27" si="6">+H16+1</f>
        <v>3</v>
      </c>
      <c r="I17" s="141"/>
      <c r="J17" s="141"/>
      <c r="K17" s="141"/>
      <c r="L17" s="141"/>
      <c r="M17" s="141"/>
      <c r="N17" s="141"/>
      <c r="O17" s="141"/>
      <c r="P17" s="151"/>
      <c r="Q17" s="30"/>
      <c r="R17" s="30"/>
    </row>
    <row r="18" spans="1:18" s="25" customFormat="1">
      <c r="A18" s="141"/>
      <c r="B18" s="142">
        <f t="shared" si="4"/>
        <v>-1.5</v>
      </c>
      <c r="C18" s="144">
        <f t="shared" si="2"/>
        <v>-1.5</v>
      </c>
      <c r="D18" s="142">
        <f t="shared" si="0"/>
        <v>411.98793113160815</v>
      </c>
      <c r="E18" s="148">
        <f t="shared" si="5"/>
        <v>4</v>
      </c>
      <c r="F18" s="185">
        <f t="shared" si="1"/>
        <v>6.6807201268858057E-2</v>
      </c>
      <c r="G18" s="187">
        <f t="shared" si="3"/>
        <v>411.98793113160815</v>
      </c>
      <c r="H18" s="148">
        <f t="shared" si="6"/>
        <v>4</v>
      </c>
      <c r="I18" s="141"/>
      <c r="J18" s="141"/>
      <c r="K18" s="141"/>
      <c r="L18" s="141"/>
      <c r="M18" s="141"/>
      <c r="N18" s="141"/>
      <c r="O18" s="141"/>
      <c r="P18" s="151"/>
      <c r="Q18" s="30"/>
      <c r="R18" s="30"/>
    </row>
    <row r="19" spans="1:18" s="25" customFormat="1">
      <c r="A19" s="141"/>
      <c r="B19" s="142">
        <f t="shared" si="4"/>
        <v>-1</v>
      </c>
      <c r="C19" s="144">
        <f t="shared" si="2"/>
        <v>-1</v>
      </c>
      <c r="D19" s="142">
        <f t="shared" si="0"/>
        <v>442.45538418773873</v>
      </c>
      <c r="E19" s="148">
        <f t="shared" si="5"/>
        <v>5</v>
      </c>
      <c r="F19" s="185">
        <f t="shared" si="1"/>
        <v>0.15865525393145691</v>
      </c>
      <c r="G19" s="187">
        <f t="shared" si="3"/>
        <v>442.45538418773873</v>
      </c>
      <c r="H19" s="148">
        <f t="shared" si="6"/>
        <v>5</v>
      </c>
      <c r="I19" s="141"/>
      <c r="J19" s="141"/>
      <c r="K19" s="141"/>
      <c r="L19" s="141"/>
      <c r="M19" s="141"/>
      <c r="N19" s="141"/>
      <c r="O19" s="141"/>
      <c r="P19" s="151"/>
      <c r="Q19" s="30"/>
      <c r="R19" s="30"/>
    </row>
    <row r="20" spans="1:18" s="25" customFormat="1">
      <c r="A20" s="141"/>
      <c r="B20" s="142">
        <f t="shared" si="4"/>
        <v>-0.5</v>
      </c>
      <c r="C20" s="144">
        <f t="shared" si="2"/>
        <v>-0.5</v>
      </c>
      <c r="D20" s="142">
        <f t="shared" si="0"/>
        <v>472.92283724386937</v>
      </c>
      <c r="E20" s="148">
        <f t="shared" si="5"/>
        <v>6</v>
      </c>
      <c r="F20" s="185">
        <f t="shared" si="1"/>
        <v>0.30853753872598699</v>
      </c>
      <c r="G20" s="187">
        <f t="shared" si="3"/>
        <v>472.92283724386937</v>
      </c>
      <c r="H20" s="148">
        <f t="shared" si="6"/>
        <v>6</v>
      </c>
      <c r="I20" s="141"/>
      <c r="J20" s="141"/>
      <c r="K20" s="141"/>
      <c r="L20" s="141"/>
      <c r="M20" s="141"/>
      <c r="N20" s="141"/>
      <c r="O20" s="141"/>
      <c r="P20" s="141"/>
      <c r="Q20" s="151"/>
      <c r="R20" s="30"/>
    </row>
    <row r="21" spans="1:18" s="25" customFormat="1">
      <c r="A21" s="141"/>
      <c r="B21" s="142">
        <f t="shared" si="4"/>
        <v>0</v>
      </c>
      <c r="C21" s="144">
        <f t="shared" si="2"/>
        <v>0</v>
      </c>
      <c r="D21" s="142">
        <f t="shared" si="0"/>
        <v>503.39029029999995</v>
      </c>
      <c r="E21" s="148">
        <f t="shared" si="5"/>
        <v>7</v>
      </c>
      <c r="F21" s="185">
        <f t="shared" si="1"/>
        <v>0.5</v>
      </c>
      <c r="G21" s="187">
        <f t="shared" si="3"/>
        <v>503.39029029999995</v>
      </c>
      <c r="H21" s="148">
        <f t="shared" si="6"/>
        <v>7</v>
      </c>
      <c r="I21" s="141"/>
      <c r="J21" s="141"/>
      <c r="K21" s="141"/>
      <c r="L21" s="141"/>
      <c r="M21" s="141"/>
      <c r="N21" s="141"/>
      <c r="O21" s="141"/>
      <c r="P21" s="141"/>
      <c r="Q21" s="151"/>
      <c r="R21" s="30"/>
    </row>
    <row r="22" spans="1:18" s="25" customFormat="1">
      <c r="A22" s="141"/>
      <c r="B22" s="142">
        <f t="shared" si="4"/>
        <v>0.5</v>
      </c>
      <c r="C22" s="144">
        <f t="shared" si="2"/>
        <v>0.5</v>
      </c>
      <c r="D22" s="142">
        <f t="shared" si="0"/>
        <v>533.85774335613053</v>
      </c>
      <c r="E22" s="148">
        <f t="shared" si="5"/>
        <v>8</v>
      </c>
      <c r="F22" s="185">
        <f t="shared" si="1"/>
        <v>0.69146246127401301</v>
      </c>
      <c r="G22" s="187">
        <f t="shared" si="3"/>
        <v>533.85774335613053</v>
      </c>
      <c r="H22" s="148">
        <f t="shared" si="6"/>
        <v>8</v>
      </c>
      <c r="I22" s="141"/>
      <c r="J22" s="141"/>
      <c r="K22" s="141"/>
      <c r="L22" s="141"/>
      <c r="M22" s="141"/>
      <c r="N22" s="141"/>
      <c r="O22" s="141"/>
      <c r="P22" s="141"/>
      <c r="Q22" s="151"/>
      <c r="R22" s="30"/>
    </row>
    <row r="23" spans="1:18" s="25" customFormat="1" ht="15.75" customHeight="1">
      <c r="A23" s="141"/>
      <c r="B23" s="142">
        <f t="shared" si="4"/>
        <v>1</v>
      </c>
      <c r="C23" s="144">
        <f t="shared" si="2"/>
        <v>1</v>
      </c>
      <c r="D23" s="142">
        <f t="shared" si="0"/>
        <v>564.32519641226111</v>
      </c>
      <c r="E23" s="148">
        <f t="shared" si="5"/>
        <v>9</v>
      </c>
      <c r="F23" s="185">
        <f t="shared" si="1"/>
        <v>0.84134474606854281</v>
      </c>
      <c r="G23" s="187">
        <f t="shared" si="3"/>
        <v>564.32519641226111</v>
      </c>
      <c r="H23" s="148">
        <f t="shared" si="6"/>
        <v>9</v>
      </c>
      <c r="I23" s="147"/>
      <c r="J23" s="147"/>
      <c r="K23" s="143"/>
      <c r="L23" s="143"/>
      <c r="M23" s="143"/>
      <c r="N23" s="143"/>
      <c r="O23" s="141"/>
      <c r="P23" s="141"/>
      <c r="Q23" s="151"/>
      <c r="R23" s="30"/>
    </row>
    <row r="24" spans="1:18" s="25" customFormat="1" ht="15">
      <c r="A24" s="141"/>
      <c r="B24" s="142">
        <f t="shared" si="4"/>
        <v>1.5</v>
      </c>
      <c r="C24" s="144">
        <f t="shared" si="2"/>
        <v>1.5</v>
      </c>
      <c r="D24" s="142">
        <f t="shared" si="0"/>
        <v>594.7926494683918</v>
      </c>
      <c r="E24" s="148">
        <f t="shared" si="5"/>
        <v>10</v>
      </c>
      <c r="F24" s="185">
        <f t="shared" si="1"/>
        <v>0.93319279873114214</v>
      </c>
      <c r="G24" s="187">
        <f t="shared" si="3"/>
        <v>594.7926494683918</v>
      </c>
      <c r="H24" s="148">
        <f t="shared" si="6"/>
        <v>10</v>
      </c>
      <c r="I24" s="182"/>
      <c r="J24" s="186"/>
      <c r="K24" s="157"/>
      <c r="L24" s="158"/>
      <c r="M24" s="188"/>
      <c r="N24" s="158"/>
      <c r="O24" s="141"/>
      <c r="Q24" s="151"/>
      <c r="R24" s="30"/>
    </row>
    <row r="25" spans="1:18" s="25" customFormat="1">
      <c r="A25" s="141"/>
      <c r="B25" s="142">
        <f t="shared" si="4"/>
        <v>2</v>
      </c>
      <c r="C25" s="144">
        <f t="shared" si="2"/>
        <v>2</v>
      </c>
      <c r="D25" s="142">
        <f>+GrandTotal+C25*GrandTotal_StDev</f>
        <v>625.26010252452238</v>
      </c>
      <c r="E25" s="148">
        <f t="shared" si="5"/>
        <v>11</v>
      </c>
      <c r="F25" s="185">
        <f t="shared" si="1"/>
        <v>0.9772498680518209</v>
      </c>
      <c r="G25" s="187">
        <f t="shared" si="3"/>
        <v>625.26010252452238</v>
      </c>
      <c r="H25" s="148">
        <f t="shared" si="6"/>
        <v>11</v>
      </c>
      <c r="I25" s="141"/>
      <c r="J25" s="186"/>
      <c r="K25" s="157"/>
      <c r="L25" s="158"/>
      <c r="M25" s="141"/>
      <c r="N25" s="141"/>
      <c r="O25" s="141"/>
      <c r="P25" s="141"/>
      <c r="Q25" s="151"/>
      <c r="R25" s="30"/>
    </row>
    <row r="26" spans="1:18" s="25" customFormat="1">
      <c r="A26" s="141"/>
      <c r="B26" s="142">
        <f t="shared" si="4"/>
        <v>2.5</v>
      </c>
      <c r="C26" s="144">
        <f t="shared" si="2"/>
        <v>2.5</v>
      </c>
      <c r="D26" s="142">
        <f t="shared" si="0"/>
        <v>655.72755558065296</v>
      </c>
      <c r="E26" s="148">
        <f t="shared" si="5"/>
        <v>12</v>
      </c>
      <c r="F26" s="185">
        <f t="shared" si="1"/>
        <v>0.99379033467422384</v>
      </c>
      <c r="G26" s="187">
        <f t="shared" si="3"/>
        <v>655.72755558065296</v>
      </c>
      <c r="H26" s="148">
        <f t="shared" si="6"/>
        <v>12</v>
      </c>
      <c r="I26" s="141"/>
      <c r="J26" s="141"/>
      <c r="K26" s="141"/>
      <c r="L26" s="141"/>
      <c r="M26" s="141"/>
      <c r="N26" s="143"/>
      <c r="O26" s="141"/>
      <c r="P26" s="141"/>
      <c r="Q26" s="151"/>
      <c r="R26" s="30"/>
    </row>
    <row r="27" spans="1:18" s="25" customFormat="1">
      <c r="A27" s="141"/>
      <c r="B27" s="142">
        <f t="shared" si="4"/>
        <v>3</v>
      </c>
      <c r="C27" s="144">
        <f t="shared" si="2"/>
        <v>3</v>
      </c>
      <c r="D27" s="142">
        <f t="shared" si="0"/>
        <v>686.19500863678354</v>
      </c>
      <c r="E27" s="148">
        <f t="shared" si="5"/>
        <v>13</v>
      </c>
      <c r="F27" s="185">
        <f t="shared" si="1"/>
        <v>0.9986501019683699</v>
      </c>
      <c r="G27" s="187">
        <f t="shared" si="3"/>
        <v>686.19500863678354</v>
      </c>
      <c r="H27" s="148">
        <f t="shared" si="6"/>
        <v>13</v>
      </c>
      <c r="I27" s="141"/>
      <c r="J27" s="141"/>
      <c r="K27" s="141"/>
      <c r="L27" s="141"/>
      <c r="M27" s="141"/>
      <c r="N27" s="158"/>
      <c r="O27" s="148"/>
      <c r="P27" s="141"/>
      <c r="Q27" s="151"/>
      <c r="R27" s="30"/>
    </row>
    <row r="28" spans="1:18" s="25" customFormat="1">
      <c r="A28" s="141"/>
      <c r="B28" s="142"/>
      <c r="C28" s="144"/>
      <c r="D28" s="142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30"/>
      <c r="R28" s="30"/>
    </row>
    <row r="29" spans="1:18" s="25" customFormat="1">
      <c r="A29" s="141"/>
      <c r="B29" s="142"/>
      <c r="C29" s="142"/>
      <c r="D29" s="142"/>
      <c r="E29" s="141"/>
      <c r="F29" s="141"/>
      <c r="G29" s="141"/>
      <c r="H29" s="141"/>
      <c r="I29" s="141"/>
      <c r="J29" s="141"/>
      <c r="K29" s="141"/>
      <c r="L29" s="141"/>
      <c r="N29" s="141"/>
      <c r="O29" s="141"/>
      <c r="P29" s="141"/>
      <c r="Q29" s="30"/>
      <c r="R29" s="30"/>
    </row>
    <row r="30" spans="1:18" s="25" customFormat="1">
      <c r="A30" s="141"/>
      <c r="B30" s="142"/>
      <c r="C30" s="142"/>
      <c r="D30" s="142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30"/>
      <c r="R30" s="30"/>
    </row>
  </sheetData>
  <phoneticPr fontId="0" type="noConversion"/>
  <pageMargins left="0.59055118110236227" right="0.23622047244094491" top="0.86614173228346458" bottom="0.6692913385826772" header="0.35433070866141736" footer="0.27559055118110237"/>
  <pageSetup paperSize="9" orientation="landscape" horizontalDpi="4294967293" verticalDpi="96" r:id="rId1"/>
  <headerFooter alignWithMargins="0">
    <oddHeader>&amp;R&amp;8&amp;G</oddHeader>
    <oddFooter>&amp;LDato: &amp;D
Fil: &amp;F&amp;C&amp;A&amp;RSide &amp;P/&amp;N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FC101-D843-478C-AA29-585AC6AC4E2C}">
  <sheetPr codeName="Sheet4">
    <tabColor rgb="FF99FFCC"/>
  </sheetPr>
  <dimension ref="A1:V1"/>
  <sheetViews>
    <sheetView zoomScaleNormal="100" workbookViewId="0">
      <selection activeCell="A2" sqref="A2"/>
    </sheetView>
  </sheetViews>
  <sheetFormatPr defaultRowHeight="12.45"/>
  <cols>
    <col min="1" max="22" width="9.23046875" style="48"/>
  </cols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C4A11-D7EE-4C50-94F8-4218CA7C2065}">
  <sheetPr codeName="Sheet5">
    <tabColor rgb="FFFFC000"/>
  </sheetPr>
  <dimension ref="A1:V1"/>
  <sheetViews>
    <sheetView workbookViewId="0">
      <selection activeCell="Q12" sqref="Q12"/>
    </sheetView>
  </sheetViews>
  <sheetFormatPr defaultRowHeight="12.45"/>
  <cols>
    <col min="1" max="22" width="9.23046875" style="48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4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35</vt:i4>
      </vt:variant>
    </vt:vector>
  </HeadingPairs>
  <TitlesOfParts>
    <vt:vector size="43" baseType="lpstr">
      <vt:lpstr>FS</vt:lpstr>
      <vt:lpstr>Data</vt:lpstr>
      <vt:lpstr>Plotdata</vt:lpstr>
      <vt:lpstr>Top10EstB</vt:lpstr>
      <vt:lpstr>Top10Usik</vt:lpstr>
      <vt:lpstr>S-Kurve</vt:lpstr>
      <vt:lpstr>Budget</vt:lpstr>
      <vt:lpstr>Usikkerheder</vt:lpstr>
      <vt:lpstr>Budget_Chosen</vt:lpstr>
      <vt:lpstr>Budget_Factor</vt:lpstr>
      <vt:lpstr>Budget_NoStd</vt:lpstr>
      <vt:lpstr>Budget_Pii</vt:lpstr>
      <vt:lpstr>deltaId</vt:lpstr>
      <vt:lpstr>deltaId_Budget</vt:lpstr>
      <vt:lpstr>DivisorA</vt:lpstr>
      <vt:lpstr>DivisorB</vt:lpstr>
      <vt:lpstr>dTF_Minus</vt:lpstr>
      <vt:lpstr>dTF_Plus</vt:lpstr>
      <vt:lpstr>Faktor</vt:lpstr>
      <vt:lpstr>FaktorA</vt:lpstr>
      <vt:lpstr>Func_Mean_Divisor</vt:lpstr>
      <vt:lpstr>Grand_Total_Var</vt:lpstr>
      <vt:lpstr>GrandTotal</vt:lpstr>
      <vt:lpstr>GrandTotal_Costs</vt:lpstr>
      <vt:lpstr>GrandTotal_Income</vt:lpstr>
      <vt:lpstr>GrandTotal_Priority</vt:lpstr>
      <vt:lpstr>GrandTotal_StDev</vt:lpstr>
      <vt:lpstr>GruppeStr</vt:lpstr>
      <vt:lpstr>GU_Sum_Costs</vt:lpstr>
      <vt:lpstr>GU_Sum_Income</vt:lpstr>
      <vt:lpstr>Mean_GUs</vt:lpstr>
      <vt:lpstr>Mean_Tasks</vt:lpstr>
      <vt:lpstr>Data!Print_Area</vt:lpstr>
      <vt:lpstr>FS!Print_Area</vt:lpstr>
      <vt:lpstr>Project_Uncertainty</vt:lpstr>
      <vt:lpstr>Project_UncertaintyShare_GeneralUncert</vt:lpstr>
      <vt:lpstr>Project_UncertaintyShare_Tasks</vt:lpstr>
      <vt:lpstr>Task_Sum_Costs</vt:lpstr>
      <vt:lpstr>Task_Sum_Income</vt:lpstr>
      <vt:lpstr>TF_Total</vt:lpstr>
      <vt:lpstr>Units</vt:lpstr>
      <vt:lpstr>Var_Sum_GeneralUncert</vt:lpstr>
      <vt:lpstr>Var_Sum_Tasks</vt:lpstr>
    </vt:vector>
  </TitlesOfParts>
  <Company>HKS-Consult.dk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Demo</dc:title>
  <dc:subject>Robust Estimations</dc:subject>
  <dc:creator>Henrik K. Søndergaard</dc:creator>
  <dc:description>Kilde: ProActive Management of Uncertainity using the Successive Principle</dc:description>
  <cp:lastModifiedBy>Henrik K Søndergaard</cp:lastModifiedBy>
  <cp:lastPrinted>2024-01-17T10:14:33Z</cp:lastPrinted>
  <dcterms:created xsi:type="dcterms:W3CDTF">2004-05-03T07:41:54Z</dcterms:created>
  <dcterms:modified xsi:type="dcterms:W3CDTF">2024-11-22T06:07:53Z</dcterms:modified>
  <cp:category>Estimations. Budget</cp:category>
  <cp:contentStatus>RELEASED</cp:contentStatus>
</cp:coreProperties>
</file>